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PRIHODI 25-26-27" sheetId="21" r:id="rId1"/>
    <sheet name="RASHODI 25-26-27" sheetId="28" r:id="rId2"/>
  </sheets>
  <definedNames>
    <definedName name="_xlnm.Print_Area" localSheetId="1">'RASHODI 25-26-27'!$B$1:$J$100</definedName>
  </definedNames>
  <calcPr calcId="124519"/>
</workbook>
</file>

<file path=xl/calcChain.xml><?xml version="1.0" encoding="utf-8"?>
<calcChain xmlns="http://schemas.openxmlformats.org/spreadsheetml/2006/main">
  <c r="I23" i="28"/>
  <c r="O26" i="21"/>
  <c r="O114"/>
  <c r="B106"/>
  <c r="I85" i="28"/>
  <c r="G23"/>
  <c r="I50"/>
  <c r="G50"/>
  <c r="F50"/>
  <c r="F23"/>
  <c r="B18" i="21"/>
  <c r="F71" i="28"/>
  <c r="F20" i="21"/>
  <c r="L17"/>
  <c r="F30" i="28" l="1"/>
  <c r="E13" i="21"/>
  <c r="I30" i="28"/>
  <c r="G30"/>
  <c r="D108" i="21"/>
  <c r="E21" l="1"/>
  <c r="F10"/>
  <c r="F69" i="28" l="1"/>
  <c r="F65" s="1"/>
  <c r="I71"/>
  <c r="I69"/>
  <c r="I13"/>
  <c r="I11"/>
  <c r="I8"/>
  <c r="G8"/>
  <c r="I7"/>
  <c r="G7"/>
  <c r="G71"/>
  <c r="G69"/>
  <c r="G13"/>
  <c r="G11"/>
  <c r="I66"/>
  <c r="G66"/>
  <c r="H70"/>
  <c r="H18"/>
  <c r="H81"/>
  <c r="J63"/>
  <c r="H63"/>
  <c r="J81"/>
  <c r="E81"/>
  <c r="E80" s="1"/>
  <c r="I80"/>
  <c r="J80" s="1"/>
  <c r="F80"/>
  <c r="G80"/>
  <c r="H69" l="1"/>
  <c r="H80"/>
  <c r="E30"/>
  <c r="L96" i="21"/>
  <c r="L97"/>
  <c r="L98"/>
  <c r="L99"/>
  <c r="L100"/>
  <c r="L101"/>
  <c r="L102"/>
  <c r="L103"/>
  <c r="L104"/>
  <c r="L105"/>
  <c r="L106"/>
  <c r="L107"/>
  <c r="L109"/>
  <c r="L110"/>
  <c r="L111"/>
  <c r="L112"/>
  <c r="L113"/>
  <c r="C69"/>
  <c r="E69"/>
  <c r="F69"/>
  <c r="G69"/>
  <c r="H69"/>
  <c r="I69"/>
  <c r="J69"/>
  <c r="K69"/>
  <c r="L51"/>
  <c r="L52"/>
  <c r="L53"/>
  <c r="L54"/>
  <c r="L55"/>
  <c r="L56"/>
  <c r="L57"/>
  <c r="L58"/>
  <c r="L59"/>
  <c r="L60"/>
  <c r="L61"/>
  <c r="L62"/>
  <c r="L64"/>
  <c r="L65"/>
  <c r="L66"/>
  <c r="L67"/>
  <c r="L68"/>
  <c r="L50"/>
  <c r="C114"/>
  <c r="E114"/>
  <c r="F114"/>
  <c r="G114"/>
  <c r="H114"/>
  <c r="I114"/>
  <c r="J114"/>
  <c r="K114"/>
  <c r="B114"/>
  <c r="D114"/>
  <c r="C26"/>
  <c r="D26"/>
  <c r="E26"/>
  <c r="F26"/>
  <c r="G26"/>
  <c r="H26"/>
  <c r="I26"/>
  <c r="J26"/>
  <c r="K26"/>
  <c r="B26"/>
  <c r="L7"/>
  <c r="L8"/>
  <c r="L9"/>
  <c r="L10"/>
  <c r="L11"/>
  <c r="L12"/>
  <c r="L13"/>
  <c r="L14"/>
  <c r="L15"/>
  <c r="L16"/>
  <c r="L18"/>
  <c r="L19"/>
  <c r="L20"/>
  <c r="L21"/>
  <c r="L22"/>
  <c r="L23"/>
  <c r="L24"/>
  <c r="L25"/>
  <c r="L6"/>
  <c r="N26" l="1"/>
  <c r="N114"/>
  <c r="L108"/>
  <c r="L26"/>
  <c r="F88" i="28" s="1"/>
  <c r="D40" l="1"/>
  <c r="D28"/>
  <c r="D21"/>
  <c r="D16"/>
  <c r="D80"/>
  <c r="L95" i="21" l="1"/>
  <c r="N117" l="1"/>
  <c r="B115"/>
  <c r="L114"/>
  <c r="H117" l="1"/>
  <c r="I88" i="28"/>
  <c r="D72" l="1"/>
  <c r="E85"/>
  <c r="E79"/>
  <c r="E76"/>
  <c r="E75"/>
  <c r="E73"/>
  <c r="E72" s="1"/>
  <c r="E67"/>
  <c r="E68"/>
  <c r="E69"/>
  <c r="E70"/>
  <c r="E71"/>
  <c r="E66"/>
  <c r="E63"/>
  <c r="E62"/>
  <c r="E58"/>
  <c r="E7"/>
  <c r="E55"/>
  <c r="E65" l="1"/>
  <c r="F72"/>
  <c r="G72"/>
  <c r="F51"/>
  <c r="F40"/>
  <c r="F28"/>
  <c r="A4"/>
  <c r="A5"/>
  <c r="A6"/>
  <c r="D6"/>
  <c r="F6"/>
  <c r="G6"/>
  <c r="I6"/>
  <c r="A7"/>
  <c r="H7"/>
  <c r="J7"/>
  <c r="A8"/>
  <c r="E8"/>
  <c r="H8"/>
  <c r="J8"/>
  <c r="A9"/>
  <c r="E9"/>
  <c r="H9"/>
  <c r="J9"/>
  <c r="A10"/>
  <c r="D10"/>
  <c r="F10"/>
  <c r="G10"/>
  <c r="I10"/>
  <c r="A11"/>
  <c r="E11"/>
  <c r="E10" s="1"/>
  <c r="H11"/>
  <c r="J11"/>
  <c r="A12"/>
  <c r="D12"/>
  <c r="F12"/>
  <c r="G12"/>
  <c r="I12"/>
  <c r="E13"/>
  <c r="H13"/>
  <c r="J13"/>
  <c r="E14"/>
  <c r="H14"/>
  <c r="J14"/>
  <c r="A15"/>
  <c r="A16"/>
  <c r="F16"/>
  <c r="G16"/>
  <c r="I16"/>
  <c r="A17"/>
  <c r="E17"/>
  <c r="H17"/>
  <c r="J17"/>
  <c r="A18"/>
  <c r="E18"/>
  <c r="J18"/>
  <c r="A19"/>
  <c r="E19"/>
  <c r="H19"/>
  <c r="J19"/>
  <c r="A20"/>
  <c r="E20"/>
  <c r="H20"/>
  <c r="J20"/>
  <c r="A21"/>
  <c r="F21"/>
  <c r="G21"/>
  <c r="I21"/>
  <c r="A22"/>
  <c r="E22"/>
  <c r="H22"/>
  <c r="J22"/>
  <c r="A23"/>
  <c r="E23"/>
  <c r="H23"/>
  <c r="J23"/>
  <c r="A24"/>
  <c r="E24"/>
  <c r="H24"/>
  <c r="J24"/>
  <c r="A25"/>
  <c r="E25"/>
  <c r="H25"/>
  <c r="J25"/>
  <c r="A26"/>
  <c r="E26"/>
  <c r="H26"/>
  <c r="J26"/>
  <c r="A27"/>
  <c r="E27"/>
  <c r="H27"/>
  <c r="J27"/>
  <c r="A28"/>
  <c r="A29"/>
  <c r="E29"/>
  <c r="H29"/>
  <c r="J29"/>
  <c r="A30"/>
  <c r="G28"/>
  <c r="I28"/>
  <c r="A31"/>
  <c r="E31"/>
  <c r="H31"/>
  <c r="J31"/>
  <c r="A32"/>
  <c r="E32"/>
  <c r="H32"/>
  <c r="J32"/>
  <c r="A33"/>
  <c r="E33"/>
  <c r="H33"/>
  <c r="J33"/>
  <c r="A34"/>
  <c r="E34"/>
  <c r="H34"/>
  <c r="J34"/>
  <c r="A35"/>
  <c r="E35"/>
  <c r="J35"/>
  <c r="A36"/>
  <c r="E36"/>
  <c r="H36"/>
  <c r="J36"/>
  <c r="A37"/>
  <c r="E37"/>
  <c r="H37"/>
  <c r="J37"/>
  <c r="A38"/>
  <c r="D38"/>
  <c r="D15" s="1"/>
  <c r="F38"/>
  <c r="G38"/>
  <c r="I38"/>
  <c r="A39"/>
  <c r="E39"/>
  <c r="E38" s="1"/>
  <c r="H39"/>
  <c r="J39"/>
  <c r="A40"/>
  <c r="G40"/>
  <c r="I40"/>
  <c r="A41"/>
  <c r="E41"/>
  <c r="H41"/>
  <c r="J41"/>
  <c r="A42"/>
  <c r="E42"/>
  <c r="H42"/>
  <c r="J42"/>
  <c r="A43"/>
  <c r="E43"/>
  <c r="H43"/>
  <c r="J43"/>
  <c r="A44"/>
  <c r="E44"/>
  <c r="H44"/>
  <c r="J44"/>
  <c r="A45"/>
  <c r="E45"/>
  <c r="H45"/>
  <c r="J45"/>
  <c r="A46"/>
  <c r="E46"/>
  <c r="H46"/>
  <c r="J46"/>
  <c r="A47"/>
  <c r="E47"/>
  <c r="H47"/>
  <c r="J47"/>
  <c r="A48"/>
  <c r="D49"/>
  <c r="G49"/>
  <c r="I49"/>
  <c r="E50"/>
  <c r="E49" s="1"/>
  <c r="F49"/>
  <c r="F48" s="1"/>
  <c r="H50"/>
  <c r="J50"/>
  <c r="A51"/>
  <c r="D51"/>
  <c r="D48" s="1"/>
  <c r="G51"/>
  <c r="I51"/>
  <c r="I48" s="1"/>
  <c r="A52"/>
  <c r="E52"/>
  <c r="H52"/>
  <c r="J52"/>
  <c r="A53"/>
  <c r="E53"/>
  <c r="H53"/>
  <c r="J53"/>
  <c r="A54"/>
  <c r="E54"/>
  <c r="H54"/>
  <c r="J54"/>
  <c r="H55"/>
  <c r="J55"/>
  <c r="D57"/>
  <c r="D56" s="1"/>
  <c r="E57"/>
  <c r="E56" s="1"/>
  <c r="F57"/>
  <c r="F56" s="1"/>
  <c r="G57"/>
  <c r="G56" s="1"/>
  <c r="I57"/>
  <c r="I56" s="1"/>
  <c r="H58"/>
  <c r="J58"/>
  <c r="A59"/>
  <c r="A60"/>
  <c r="A61"/>
  <c r="D61"/>
  <c r="D60" s="1"/>
  <c r="E61"/>
  <c r="E60" s="1"/>
  <c r="F61"/>
  <c r="F60" s="1"/>
  <c r="G61"/>
  <c r="I61"/>
  <c r="A62"/>
  <c r="H62"/>
  <c r="J62"/>
  <c r="A64"/>
  <c r="A65"/>
  <c r="D65"/>
  <c r="A66"/>
  <c r="H66"/>
  <c r="J66"/>
  <c r="A67"/>
  <c r="H67"/>
  <c r="J67"/>
  <c r="A68"/>
  <c r="H68"/>
  <c r="J68"/>
  <c r="A69"/>
  <c r="G65"/>
  <c r="G64" s="1"/>
  <c r="I65"/>
  <c r="A70"/>
  <c r="J70"/>
  <c r="A71"/>
  <c r="H71"/>
  <c r="J71"/>
  <c r="I72"/>
  <c r="H73"/>
  <c r="J73"/>
  <c r="A74"/>
  <c r="D74"/>
  <c r="E74"/>
  <c r="F74"/>
  <c r="G74"/>
  <c r="I74"/>
  <c r="A75"/>
  <c r="H75"/>
  <c r="J75"/>
  <c r="A76"/>
  <c r="H76"/>
  <c r="J76"/>
  <c r="D78"/>
  <c r="D77" s="1"/>
  <c r="E78"/>
  <c r="E77" s="1"/>
  <c r="F78"/>
  <c r="F77" s="1"/>
  <c r="G78"/>
  <c r="G77" s="1"/>
  <c r="I78"/>
  <c r="H79"/>
  <c r="J79"/>
  <c r="D84"/>
  <c r="D83" s="1"/>
  <c r="D82" s="1"/>
  <c r="E84"/>
  <c r="E83" s="1"/>
  <c r="E82" s="1"/>
  <c r="F84"/>
  <c r="G84"/>
  <c r="G83" s="1"/>
  <c r="G82" s="1"/>
  <c r="I84"/>
  <c r="I83" s="1"/>
  <c r="I82" s="1"/>
  <c r="H85"/>
  <c r="J85"/>
  <c r="F15" l="1"/>
  <c r="F64"/>
  <c r="F5"/>
  <c r="G48"/>
  <c r="H48" s="1"/>
  <c r="F4"/>
  <c r="J40"/>
  <c r="I5"/>
  <c r="G5"/>
  <c r="I15"/>
  <c r="J21"/>
  <c r="G15"/>
  <c r="I64"/>
  <c r="J38"/>
  <c r="I77"/>
  <c r="J77" s="1"/>
  <c r="D64"/>
  <c r="D59" s="1"/>
  <c r="J10"/>
  <c r="J84"/>
  <c r="J69"/>
  <c r="J61"/>
  <c r="H38"/>
  <c r="J12"/>
  <c r="H16"/>
  <c r="H40"/>
  <c r="H84"/>
  <c r="J82"/>
  <c r="H72"/>
  <c r="J49"/>
  <c r="J16"/>
  <c r="H12"/>
  <c r="H10"/>
  <c r="H6"/>
  <c r="J6"/>
  <c r="E64"/>
  <c r="E59" s="1"/>
  <c r="F59"/>
  <c r="H61"/>
  <c r="H56"/>
  <c r="E51"/>
  <c r="E48" s="1"/>
  <c r="E40"/>
  <c r="E16"/>
  <c r="E12"/>
  <c r="D5"/>
  <c r="E6"/>
  <c r="E28"/>
  <c r="E21"/>
  <c r="J51"/>
  <c r="H21"/>
  <c r="J28"/>
  <c r="H74"/>
  <c r="J74"/>
  <c r="H77"/>
  <c r="J72"/>
  <c r="H65"/>
  <c r="H49"/>
  <c r="J65"/>
  <c r="J56"/>
  <c r="H28"/>
  <c r="I60"/>
  <c r="H51"/>
  <c r="H78"/>
  <c r="H57"/>
  <c r="H35"/>
  <c r="J30"/>
  <c r="G60"/>
  <c r="G59" s="1"/>
  <c r="J83"/>
  <c r="F83"/>
  <c r="F82" s="1"/>
  <c r="H82" s="1"/>
  <c r="J78"/>
  <c r="J57"/>
  <c r="H30"/>
  <c r="D63" i="21"/>
  <c r="J48" i="28" l="1"/>
  <c r="D69" i="21"/>
  <c r="L63"/>
  <c r="L69" s="1"/>
  <c r="G88" i="28" s="1"/>
  <c r="I4"/>
  <c r="G4"/>
  <c r="G86" s="1"/>
  <c r="H73" i="21" s="1"/>
  <c r="I59" i="28"/>
  <c r="E5"/>
  <c r="J5"/>
  <c r="J15"/>
  <c r="H5"/>
  <c r="H83"/>
  <c r="H64"/>
  <c r="E15"/>
  <c r="D4"/>
  <c r="D86" s="1"/>
  <c r="H15"/>
  <c r="J60"/>
  <c r="H60"/>
  <c r="J64"/>
  <c r="B69" i="21"/>
  <c r="I86" i="28" l="1"/>
  <c r="H118" i="21" s="1"/>
  <c r="H119" s="1"/>
  <c r="N69"/>
  <c r="H88" i="28"/>
  <c r="J88"/>
  <c r="E4"/>
  <c r="E86" s="1"/>
  <c r="J4"/>
  <c r="F86"/>
  <c r="H30" i="21" s="1"/>
  <c r="H59" i="28"/>
  <c r="J59"/>
  <c r="H4"/>
  <c r="O69" i="21"/>
  <c r="B70"/>
  <c r="N72" l="1"/>
  <c r="H86" i="28"/>
  <c r="I89"/>
  <c r="I90" s="1"/>
  <c r="G89"/>
  <c r="F89"/>
  <c r="J86"/>
  <c r="H72" i="21"/>
  <c r="J89" i="28" l="1"/>
  <c r="H89"/>
  <c r="H74" i="21"/>
  <c r="N29" l="1"/>
  <c r="G90" i="28"/>
  <c r="J90" s="1"/>
  <c r="B27" i="21"/>
  <c r="F90" i="28" l="1"/>
  <c r="H29" i="21"/>
  <c r="H90" i="28" l="1"/>
  <c r="H31" i="21" l="1"/>
</calcChain>
</file>

<file path=xl/sharedStrings.xml><?xml version="1.0" encoding="utf-8"?>
<sst xmlns="http://schemas.openxmlformats.org/spreadsheetml/2006/main" count="303" uniqueCount="219">
  <si>
    <t>UKUPNO</t>
  </si>
  <si>
    <t>Otplata glavn. Primlj. Zajmova od kred. Institituc.</t>
  </si>
  <si>
    <t>Izdaci za otpl. Glavn. Primljenih zajmova</t>
  </si>
  <si>
    <t>Izd. Za financ.imov.i otplate zajmova</t>
  </si>
  <si>
    <t>4264</t>
  </si>
  <si>
    <t>Ulaganja u računalne programe</t>
  </si>
  <si>
    <t>4262</t>
  </si>
  <si>
    <t>426</t>
  </si>
  <si>
    <t>4227</t>
  </si>
  <si>
    <t>Instrumenti, uređaji i strojevi</t>
  </si>
  <si>
    <t>4225</t>
  </si>
  <si>
    <t>Medicinska i laboratorijska oprema</t>
  </si>
  <si>
    <t>4224</t>
  </si>
  <si>
    <t>Oprema za održavanje i zaštitu</t>
  </si>
  <si>
    <t>4223</t>
  </si>
  <si>
    <t>Komunikacijska oprema</t>
  </si>
  <si>
    <t>4222</t>
  </si>
  <si>
    <t>Uredska oprema i namještaj</t>
  </si>
  <si>
    <t>4221</t>
  </si>
  <si>
    <t>Postrojenja i oprema</t>
  </si>
  <si>
    <t>422</t>
  </si>
  <si>
    <t>Rash. za nabavu proizv. dugotr. imovine</t>
  </si>
  <si>
    <t>42</t>
  </si>
  <si>
    <t>Licence</t>
  </si>
  <si>
    <t>4123</t>
  </si>
  <si>
    <t>Nematerijalna imovina</t>
  </si>
  <si>
    <t>412</t>
  </si>
  <si>
    <t>Rash. za nabavu neproizv. Dugotr. imovine</t>
  </si>
  <si>
    <t>41</t>
  </si>
  <si>
    <t>Rashodi za nabavu nefinancijske imovine</t>
  </si>
  <si>
    <t>4</t>
  </si>
  <si>
    <t>3434</t>
  </si>
  <si>
    <t>Zatezne kamate</t>
  </si>
  <si>
    <t>3433</t>
  </si>
  <si>
    <t xml:space="preserve">Negativne tečajne razlike </t>
  </si>
  <si>
    <t>3432</t>
  </si>
  <si>
    <t>3431</t>
  </si>
  <si>
    <t>Ostali financijski rashodi</t>
  </si>
  <si>
    <t>343</t>
  </si>
  <si>
    <t>Kam. za primlj kredite od krd. Inst.</t>
  </si>
  <si>
    <t>Kamate za primlj. Kredite</t>
  </si>
  <si>
    <t>Financijski rashodi</t>
  </si>
  <si>
    <t>34</t>
  </si>
  <si>
    <t>Ostali nespomenuti rashodi posl.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</si>
  <si>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</si>
  <si>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</si>
  <si>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</si>
  <si>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</si>
  <si>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</si>
  <si>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</si>
  <si>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</si>
  <si>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</si>
  <si>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</si>
  <si>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</si>
  <si>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</si>
  <si>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predst.i izvrš. tijela, povjer. i slično</t>
  </si>
  <si>
    <t>3291</t>
  </si>
  <si>
    <t>Ostali nespomenuti rashodi poslovanja</t>
  </si>
  <si>
    <t>329</t>
  </si>
  <si>
    <t>3241</t>
  </si>
  <si>
    <t>Naknade troškova osobama izvan radnog odnosa</t>
  </si>
  <si>
    <t>324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</si>
  <si>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</si>
  <si>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</si>
  <si>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</si>
  <si>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</si>
  <si>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</si>
  <si>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</si>
  <si>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</si>
  <si>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</si>
  <si>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</si>
  <si>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</si>
  <si>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</si>
  <si>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</si>
  <si>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</si>
  <si>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</si>
  <si>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inv.  održavanja</t>
  </si>
  <si>
    <t>3232</t>
  </si>
  <si>
    <t>Usluge telefona, pošte i prijevoza</t>
  </si>
  <si>
    <t>3231</t>
  </si>
  <si>
    <t>Rashodi za usluge</t>
  </si>
  <si>
    <t>323</t>
  </si>
  <si>
    <t>Službena, radna i zašt.odjeća i ob.</t>
  </si>
  <si>
    <t>3227</t>
  </si>
  <si>
    <t>Sitni inventar i auto gume</t>
  </si>
  <si>
    <t>3225</t>
  </si>
  <si>
    <t>Materijal i dijel. za tek. i invest. Održ.</t>
  </si>
  <si>
    <t>3224</t>
  </si>
  <si>
    <t>Energija</t>
  </si>
  <si>
    <t>3223</t>
  </si>
  <si>
    <t>Materijal i sirovine</t>
  </si>
  <si>
    <t>3222</t>
  </si>
  <si>
    <t>Uredski materijal i ostali mat.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</si>
  <si>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</si>
  <si>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</si>
  <si>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</si>
  <si>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</si>
  <si>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</si>
  <si>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</si>
  <si>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</si>
  <si>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Nakn. za prijev. rad na ter. odv. Živ.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</si>
  <si>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</si>
  <si>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</si>
  <si>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</si>
  <si>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</si>
  <si>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</si>
  <si>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</si>
  <si>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</si>
  <si>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zapošljavanje</t>
  </si>
  <si>
    <t>Doprinosi za obvezno zdravstveno osiguranje</t>
  </si>
  <si>
    <t>3132</t>
  </si>
  <si>
    <t>Doprinosi na plaće</t>
  </si>
  <si>
    <t>Ostali rashodi za zaposlene</t>
  </si>
  <si>
    <t>3121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</si>
  <si>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</si>
  <si>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</si>
  <si>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</si>
  <si>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</si>
  <si>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</si>
  <si>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</si>
  <si>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</si>
  <si>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</si>
  <si>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</si>
  <si>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</si>
  <si>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Rashodi poslovanja</t>
  </si>
  <si>
    <t>3</t>
  </si>
  <si>
    <t>Naziv</t>
  </si>
  <si>
    <t>Račun iz raču. Pl.</t>
  </si>
  <si>
    <t>len</t>
  </si>
  <si>
    <t>Izvor prihoda i primitaka</t>
  </si>
  <si>
    <t>Oznaka                           rač.iz                                      računskog                                         plana</t>
  </si>
  <si>
    <t>63414 pomoći od HZMO, HZZ, HZZO</t>
  </si>
  <si>
    <t>64132 kamate</t>
  </si>
  <si>
    <t>64151 pozitivne tečajne razlike</t>
  </si>
  <si>
    <t>65264 dopunsko</t>
  </si>
  <si>
    <t>65267 refund.osig.</t>
  </si>
  <si>
    <t>66151 vlastiti prihodi</t>
  </si>
  <si>
    <t>66313 tekuće donacije</t>
  </si>
  <si>
    <t>67111 prih.za finan.rashoda-pgž</t>
  </si>
  <si>
    <t>67311 HZZO</t>
  </si>
  <si>
    <t>68311 ostali prihodi</t>
  </si>
  <si>
    <t>92211 višak prih.posl.</t>
  </si>
  <si>
    <t>Ukupno (po izvorima)</t>
  </si>
  <si>
    <t>66323 kapitalne donacije</t>
  </si>
  <si>
    <t>Porezni i ostali prihodi - 111 (90)</t>
  </si>
  <si>
    <t>Opći prihodi i primici - DEC - 445 (30)</t>
  </si>
  <si>
    <t>Vlastiti prihodi - 321 (20)</t>
  </si>
  <si>
    <t>Prihodi za posebne namjene - 431 (10)</t>
  </si>
  <si>
    <t>Pomoći - 521 (40)</t>
  </si>
  <si>
    <t>Donacije - 621 (50)</t>
  </si>
  <si>
    <t>Prihodi od prodaje nefinancijske imovine i nadoknade šteta s osnova osiguranja - 731 (60)</t>
  </si>
  <si>
    <t>Prenesena sredstva - vlastiti prihodi - 383 (80)</t>
  </si>
  <si>
    <t>Thalassotherapia Opatija - Specijalna bolnica za medicinsku rehabilitaciju bolesti srca, pluća i reumatizma</t>
  </si>
  <si>
    <t xml:space="preserve">Nakn. trošk. osob. izvan radn. odnosa </t>
  </si>
  <si>
    <t>Bank. usluge i usluge platnog prom.</t>
  </si>
  <si>
    <t>Ostali nespomenuti financijski rashodi</t>
  </si>
  <si>
    <t>Uređaji, strojevi i oprema za ostale namjene</t>
  </si>
  <si>
    <t>Nematerijalna proizvedena imovina</t>
  </si>
  <si>
    <t>Otplata glavn. Primlj. Kred. Dugoročni</t>
  </si>
  <si>
    <t>Kazne, penali i nakn. štete</t>
  </si>
  <si>
    <t>Nakn šteta pravnim i fizičkim osobama</t>
  </si>
  <si>
    <t>Ostala nematerij. proizved. imovina</t>
  </si>
  <si>
    <t>razlika</t>
  </si>
  <si>
    <t>Rashodi za dodatna ulaganja na nefinancijskoj imovini</t>
  </si>
  <si>
    <t>Dodatna ulaganja na građevinskim objektima</t>
  </si>
  <si>
    <t>RAZLIKA</t>
  </si>
  <si>
    <t>67121, prih.za nab. nefinanc. imovine</t>
  </si>
  <si>
    <t>Ostala nematerij imovina</t>
  </si>
  <si>
    <t>INDEKS (Projekc. 2024. / Plan 2023.</t>
  </si>
  <si>
    <t>INDEKS (Projekc. 2025. / Projekc. 2024.</t>
  </si>
  <si>
    <t>rashodi</t>
  </si>
  <si>
    <t>prihodi</t>
  </si>
  <si>
    <t>VIŠE / MANJE</t>
  </si>
  <si>
    <t>64143 Zatezne kamate</t>
  </si>
  <si>
    <t>66311 Tekuće don. od fizičkih osoba</t>
  </si>
  <si>
    <t>Kredit</t>
  </si>
  <si>
    <t>67141 prih.iz nadl. prorač. za financ. Izd. za otplatu zajm.</t>
  </si>
  <si>
    <t>Prijevozna sredstva</t>
  </si>
  <si>
    <t>u eurima</t>
  </si>
  <si>
    <t>84432 Primlj. Kred.od fin. Inst. Izv. jav. sekt.</t>
  </si>
  <si>
    <t>Ukupno prihodi i primici za 2025.</t>
  </si>
  <si>
    <t>Prijevozna sredstva u cestovnom prometu - Kombi</t>
  </si>
  <si>
    <t>PROJEKCIJA FINANCIJSKOG PLAN PRIHODA I PRIMITAKA 2026. EURI</t>
  </si>
  <si>
    <t>FINANCIJSKI PLAN ZA 2026. GODINU - PROJEKCIJA</t>
  </si>
  <si>
    <t>PLAN PRIHODA 2025.</t>
  </si>
  <si>
    <t>PLAN RASHODA 2025.</t>
  </si>
  <si>
    <t>PLAN PRIHODA 2026.</t>
  </si>
  <si>
    <t>PLAN RASHODA 2026.</t>
  </si>
  <si>
    <t>PRORAČUN</t>
  </si>
  <si>
    <t>VLASTITI</t>
  </si>
  <si>
    <t>PROJEKCIJA FINANC. PLANA ZA 2026. GOD. EURI</t>
  </si>
  <si>
    <t>FINANCIJSKI PLAN RASHODA I IZDATAKA ZA 2025. SA PROJEKCIJOM ZA 2026. I 2027. GODINU</t>
  </si>
  <si>
    <r>
      <t>FINANCIJSKI PLAN ZA 2025. GOD</t>
    </r>
    <r>
      <rPr>
        <b/>
        <i/>
        <u/>
        <sz val="12"/>
        <color rgb="FFFF0000"/>
        <rFont val="Arial"/>
        <family val="2"/>
      </rPr>
      <t xml:space="preserve"> EURI</t>
    </r>
  </si>
  <si>
    <t>PROJEKCIJA FINANC. PLANA ZA 2027. GOD. EURI</t>
  </si>
  <si>
    <t>FINANCIJSKI PLAN PRIHODA I PRIMITAKA 2025. EURI</t>
  </si>
  <si>
    <t>FINANCIJSKI PLAN ZA 2025. GODINU</t>
  </si>
  <si>
    <t>PROJEKCIJA FINANCIJSKOG PLAN PRIHODA I PRIMITAKA 2027. EURI</t>
  </si>
  <si>
    <t>FINANCIJSKI PLAN ZA 2027. GODINU - PROJEKCIJA</t>
  </si>
  <si>
    <t>PLAN PRIHODA 2027.</t>
  </si>
  <si>
    <t>PLAN RASHODA 2027.</t>
  </si>
  <si>
    <t>REBALANS 1. ZA 2024. GOD.</t>
  </si>
  <si>
    <t>Dodatna ulaganja na postrojenjima i opremi</t>
  </si>
  <si>
    <t>72111 prih.od prod.stamb.objek.</t>
  </si>
  <si>
    <t>72311 prih.od prodaje prijevoznih sredstava</t>
  </si>
  <si>
    <t>65266 refundacija rash.iz prethodnih godina</t>
  </si>
  <si>
    <t>10.000 - dani srca</t>
  </si>
  <si>
    <t>Rashodi za donacije, kazne, naknade šteta i kapitalne pomoći</t>
  </si>
  <si>
    <t>411.000 - kredit MR 3T</t>
  </si>
  <si>
    <t>DONOS VIŠKA PRIHODA IZ 2024 g.= VEĆI RASHODI</t>
  </si>
  <si>
    <t>10.000 - Dani srca</t>
  </si>
  <si>
    <t>90.000+89.000 na 3232</t>
  </si>
  <si>
    <t>Prenesena sredstva - opći prihodi i primici - projicirani višak - 1814</t>
  </si>
  <si>
    <t>145.000 - fasada E2</t>
  </si>
  <si>
    <t>950.000 - sanacija 2. i 3. kat fizijatrija</t>
  </si>
  <si>
    <t>112.499 - lift za invalide E1</t>
  </si>
  <si>
    <t>445.832 - stari kredit 34.832 + novi kredit MR 3T 411.000</t>
  </si>
  <si>
    <t>2.250.000 - nadogradnja TWC</t>
  </si>
  <si>
    <t xml:space="preserve">550.000 - nadogradnja TWC </t>
  </si>
  <si>
    <t>375.000 - kredit za TWC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</si>
</sst>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_k_n_-;\-* #,##0.00\ _k_n_-;_-* &quot;-&quot;??\ _k_n_-;_-@_-"/>
  </numFmts>
  <fonts count="5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b/>
      <sz val="12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rgb="FF000000"/>
      <name val="Arial"/>
      <family val="2"/>
    </font>
    <font>
      <b/>
      <sz val="12"/>
      <color indexed="8"/>
      <name val="Arial"/>
      <family val="2"/>
      <charset val="238"/>
    </font>
    <font>
      <b/>
      <sz val="9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9"/>
      <color theme="1"/>
      <name val="Arial"/>
      <family val="2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u/>
      <sz val="12"/>
      <color theme="1"/>
      <name val="Arial"/>
      <family val="2"/>
    </font>
    <font>
      <b/>
      <i/>
      <u/>
      <sz val="12"/>
      <color rgb="FFFF0000"/>
      <name val="Arial"/>
      <family val="2"/>
    </font>
    <font>
      <b/>
      <sz val="9"/>
      <color rgb="FFFF0000"/>
      <name val="Arial"/>
      <family val="2"/>
      <charset val="238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rgb="FFFF0000"/>
      <name val="Arial"/>
      <family val="2"/>
    </font>
    <font>
      <sz val="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7DA9E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12" applyNumberFormat="0" applyAlignment="0" applyProtection="0"/>
    <xf numFmtId="0" fontId="21" fillId="24" borderId="13" applyNumberFormat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14" borderId="12" applyNumberFormat="0" applyAlignment="0" applyProtection="0"/>
    <xf numFmtId="0" fontId="28" fillId="0" borderId="17" applyNumberFormat="0" applyFill="0" applyAlignment="0" applyProtection="0"/>
    <xf numFmtId="0" fontId="29" fillId="14" borderId="0" applyNumberFormat="0" applyBorder="0" applyAlignment="0" applyProtection="0"/>
    <xf numFmtId="0" fontId="30" fillId="0" borderId="0"/>
    <xf numFmtId="0" fontId="30" fillId="11" borderId="18" applyNumberFormat="0" applyFont="0" applyAlignment="0" applyProtection="0"/>
    <xf numFmtId="0" fontId="31" fillId="0" borderId="0"/>
    <xf numFmtId="0" fontId="31" fillId="0" borderId="0"/>
    <xf numFmtId="0" fontId="30" fillId="0" borderId="0"/>
    <xf numFmtId="0" fontId="30" fillId="0" borderId="0"/>
    <xf numFmtId="0" fontId="32" fillId="23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2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1" applyFont="1" applyAlignment="1">
      <alignment horizontal="left" indent="1"/>
    </xf>
    <xf numFmtId="4" fontId="2" fillId="0" borderId="0" xfId="1" applyNumberFormat="1" applyFont="1" applyAlignment="1"/>
    <xf numFmtId="4" fontId="2" fillId="0" borderId="0" xfId="2" applyNumberFormat="1" applyFont="1" applyAlignment="1"/>
    <xf numFmtId="0" fontId="2" fillId="0" borderId="0" xfId="1" applyFont="1" applyAlignment="1"/>
    <xf numFmtId="0" fontId="36" fillId="0" borderId="0" xfId="42" applyNumberFormat="1" applyFont="1" applyFill="1" applyBorder="1" applyAlignment="1" applyProtection="1"/>
    <xf numFmtId="1" fontId="37" fillId="0" borderId="0" xfId="42" applyNumberFormat="1" applyFont="1" applyAlignment="1">
      <alignment wrapText="1"/>
    </xf>
    <xf numFmtId="0" fontId="37" fillId="0" borderId="0" xfId="42" applyFont="1"/>
    <xf numFmtId="0" fontId="37" fillId="0" borderId="0" xfId="42" applyFont="1" applyAlignment="1">
      <alignment horizontal="right"/>
    </xf>
    <xf numFmtId="1" fontId="38" fillId="0" borderId="1" xfId="42" applyNumberFormat="1" applyFont="1" applyBorder="1" applyAlignment="1">
      <alignment wrapText="1"/>
    </xf>
    <xf numFmtId="1" fontId="38" fillId="0" borderId="4" xfId="42" applyNumberFormat="1" applyFont="1" applyBorder="1" applyAlignment="1">
      <alignment wrapText="1"/>
    </xf>
    <xf numFmtId="0" fontId="36" fillId="0" borderId="0" xfId="42" applyNumberFormat="1" applyFont="1" applyFill="1" applyBorder="1" applyAlignment="1" applyProtection="1">
      <alignment vertical="center" wrapText="1"/>
    </xf>
    <xf numFmtId="164" fontId="36" fillId="0" borderId="0" xfId="2" applyFont="1" applyFill="1" applyBorder="1" applyAlignment="1" applyProtection="1"/>
    <xf numFmtId="0" fontId="36" fillId="0" borderId="0" xfId="42" applyNumberFormat="1" applyFont="1" applyFill="1" applyBorder="1" applyAlignment="1" applyProtection="1">
      <alignment vertical="center"/>
    </xf>
    <xf numFmtId="0" fontId="36" fillId="0" borderId="0" xfId="42" applyNumberFormat="1" applyFont="1" applyFill="1" applyBorder="1" applyAlignment="1" applyProtection="1">
      <alignment horizontal="center" vertical="center"/>
    </xf>
    <xf numFmtId="0" fontId="42" fillId="0" borderId="28" xfId="42" applyNumberFormat="1" applyFont="1" applyFill="1" applyBorder="1" applyAlignment="1" applyProtection="1"/>
    <xf numFmtId="0" fontId="41" fillId="0" borderId="24" xfId="42" applyNumberFormat="1" applyFont="1" applyFill="1" applyBorder="1" applyAlignment="1" applyProtection="1"/>
    <xf numFmtId="0" fontId="6" fillId="0" borderId="32" xfId="42" applyNumberFormat="1" applyFont="1" applyFill="1" applyBorder="1" applyAlignment="1" applyProtection="1"/>
    <xf numFmtId="0" fontId="6" fillId="0" borderId="34" xfId="42" applyNumberFormat="1" applyFont="1" applyFill="1" applyBorder="1" applyAlignment="1" applyProtection="1"/>
    <xf numFmtId="0" fontId="6" fillId="0" borderId="36" xfId="42" applyNumberFormat="1" applyFont="1" applyFill="1" applyBorder="1" applyAlignment="1" applyProtection="1"/>
    <xf numFmtId="4" fontId="43" fillId="0" borderId="0" xfId="0" applyNumberFormat="1" applyFont="1"/>
    <xf numFmtId="0" fontId="12" fillId="7" borderId="37" xfId="1" applyFont="1" applyFill="1" applyBorder="1" applyAlignment="1">
      <alignment horizontal="left" wrapText="1" indent="4"/>
    </xf>
    <xf numFmtId="0" fontId="10" fillId="7" borderId="38" xfId="1" applyFont="1" applyFill="1" applyBorder="1" applyAlignment="1">
      <alignment wrapText="1"/>
    </xf>
    <xf numFmtId="4" fontId="15" fillId="7" borderId="8" xfId="1" applyNumberFormat="1" applyFont="1" applyFill="1" applyBorder="1" applyAlignment="1">
      <alignment horizontal="right" wrapText="1"/>
    </xf>
    <xf numFmtId="0" fontId="10" fillId="6" borderId="39" xfId="1" applyFont="1" applyFill="1" applyBorder="1" applyAlignment="1">
      <alignment horizontal="left" wrapText="1" indent="4"/>
    </xf>
    <xf numFmtId="0" fontId="10" fillId="6" borderId="40" xfId="1" applyFont="1" applyFill="1" applyBorder="1" applyAlignment="1">
      <alignment wrapText="1"/>
    </xf>
    <xf numFmtId="4" fontId="5" fillId="6" borderId="6" xfId="2" applyNumberFormat="1" applyFont="1" applyFill="1" applyBorder="1" applyAlignment="1">
      <alignment wrapText="1"/>
    </xf>
    <xf numFmtId="0" fontId="7" fillId="5" borderId="39" xfId="1" applyFont="1" applyFill="1" applyBorder="1" applyAlignment="1">
      <alignment wrapText="1"/>
    </xf>
    <xf numFmtId="0" fontId="7" fillId="5" borderId="40" xfId="1" applyFont="1" applyFill="1" applyBorder="1" applyAlignment="1">
      <alignment wrapText="1"/>
    </xf>
    <xf numFmtId="0" fontId="4" fillId="4" borderId="39" xfId="1" applyFont="1" applyFill="1" applyBorder="1" applyAlignment="1">
      <alignment horizontal="center" wrapText="1"/>
    </xf>
    <xf numFmtId="0" fontId="4" fillId="4" borderId="40" xfId="1" applyFont="1" applyFill="1" applyBorder="1" applyAlignment="1">
      <alignment wrapText="1"/>
    </xf>
    <xf numFmtId="0" fontId="7" fillId="5" borderId="39" xfId="1" applyFont="1" applyFill="1" applyBorder="1" applyAlignment="1">
      <alignment horizontal="left" wrapText="1"/>
    </xf>
    <xf numFmtId="0" fontId="10" fillId="6" borderId="41" xfId="1" applyFont="1" applyFill="1" applyBorder="1" applyAlignment="1"/>
    <xf numFmtId="0" fontId="10" fillId="6" borderId="42" xfId="1" applyFont="1" applyFill="1" applyBorder="1" applyAlignment="1">
      <alignment wrapText="1"/>
    </xf>
    <xf numFmtId="0" fontId="7" fillId="5" borderId="37" xfId="1" applyFont="1" applyFill="1" applyBorder="1" applyAlignment="1">
      <alignment horizontal="left" wrapText="1"/>
    </xf>
    <xf numFmtId="0" fontId="10" fillId="5" borderId="38" xfId="1" applyFont="1" applyFill="1" applyBorder="1" applyAlignment="1">
      <alignment wrapText="1"/>
    </xf>
    <xf numFmtId="0" fontId="14" fillId="8" borderId="39" xfId="1" applyFont="1" applyFill="1" applyBorder="1" applyAlignment="1">
      <alignment horizontal="center" wrapText="1"/>
    </xf>
    <xf numFmtId="0" fontId="4" fillId="4" borderId="43" xfId="1" applyFont="1" applyFill="1" applyBorder="1" applyAlignment="1">
      <alignment horizontal="center" wrapText="1"/>
    </xf>
    <xf numFmtId="0" fontId="4" fillId="4" borderId="44" xfId="1" applyFont="1" applyFill="1" applyBorder="1" applyAlignment="1">
      <alignment wrapText="1"/>
    </xf>
    <xf numFmtId="0" fontId="4" fillId="4" borderId="7" xfId="1" applyFont="1" applyFill="1" applyBorder="1" applyAlignment="1">
      <alignment horizontal="center" wrapText="1"/>
    </xf>
    <xf numFmtId="0" fontId="4" fillId="4" borderId="29" xfId="1" applyFont="1" applyFill="1" applyBorder="1" applyAlignment="1">
      <alignment wrapText="1"/>
    </xf>
    <xf numFmtId="4" fontId="11" fillId="6" borderId="45" xfId="1" applyNumberFormat="1" applyFont="1" applyFill="1" applyBorder="1" applyAlignment="1">
      <alignment horizontal="right" wrapText="1"/>
    </xf>
    <xf numFmtId="4" fontId="9" fillId="6" borderId="6" xfId="2" applyNumberFormat="1" applyFont="1" applyFill="1" applyBorder="1" applyAlignment="1">
      <alignment wrapText="1"/>
    </xf>
    <xf numFmtId="0" fontId="7" fillId="5" borderId="45" xfId="1" applyFont="1" applyFill="1" applyBorder="1" applyAlignment="1">
      <alignment wrapText="1"/>
    </xf>
    <xf numFmtId="0" fontId="4" fillId="4" borderId="45" xfId="1" applyFont="1" applyFill="1" applyBorder="1" applyAlignment="1">
      <alignment horizontal="center" wrapText="1"/>
    </xf>
    <xf numFmtId="4" fontId="5" fillId="7" borderId="6" xfId="2" applyNumberFormat="1" applyFont="1" applyFill="1" applyBorder="1" applyAlignment="1">
      <alignment wrapText="1"/>
    </xf>
    <xf numFmtId="0" fontId="4" fillId="4" borderId="5" xfId="1" applyFont="1" applyFill="1" applyBorder="1" applyAlignment="1">
      <alignment horizontal="center" wrapText="1"/>
    </xf>
    <xf numFmtId="0" fontId="4" fillId="4" borderId="31" xfId="1" applyFont="1" applyFill="1" applyBorder="1" applyAlignment="1">
      <alignment wrapText="1"/>
    </xf>
    <xf numFmtId="0" fontId="3" fillId="2" borderId="1" xfId="1" applyFont="1" applyFill="1" applyBorder="1" applyAlignment="1"/>
    <xf numFmtId="0" fontId="2" fillId="0" borderId="0" xfId="1" applyFont="1" applyBorder="1" applyAlignment="1">
      <alignment horizontal="left" indent="1"/>
    </xf>
    <xf numFmtId="4" fontId="6" fillId="0" borderId="26" xfId="42" applyNumberFormat="1" applyFont="1" applyFill="1" applyBorder="1" applyAlignment="1" applyProtection="1"/>
    <xf numFmtId="4" fontId="6" fillId="0" borderId="29" xfId="42" applyNumberFormat="1" applyFont="1" applyFill="1" applyBorder="1" applyAlignment="1" applyProtection="1"/>
    <xf numFmtId="4" fontId="6" fillId="0" borderId="30" xfId="42" applyNumberFormat="1" applyFont="1" applyFill="1" applyBorder="1" applyAlignment="1" applyProtection="1"/>
    <xf numFmtId="0" fontId="36" fillId="0" borderId="0" xfId="42" applyNumberFormat="1" applyFont="1" applyFill="1" applyBorder="1" applyAlignment="1" applyProtection="1">
      <alignment wrapText="1"/>
    </xf>
    <xf numFmtId="164" fontId="36" fillId="0" borderId="0" xfId="2" applyFont="1" applyFill="1" applyBorder="1" applyAlignment="1" applyProtection="1">
      <alignment wrapText="1"/>
    </xf>
    <xf numFmtId="1" fontId="38" fillId="25" borderId="23" xfId="42" applyNumberFormat="1" applyFont="1" applyFill="1" applyBorder="1" applyAlignment="1">
      <alignment horizontal="right" vertical="top" wrapText="1"/>
    </xf>
    <xf numFmtId="1" fontId="38" fillId="25" borderId="33" xfId="42" applyNumberFormat="1" applyFont="1" applyFill="1" applyBorder="1" applyAlignment="1">
      <alignment horizontal="left" wrapText="1"/>
    </xf>
    <xf numFmtId="0" fontId="39" fillId="26" borderId="1" xfId="42" applyFont="1" applyFill="1" applyBorder="1" applyAlignment="1">
      <alignment horizontal="center" vertical="center" wrapText="1"/>
    </xf>
    <xf numFmtId="43" fontId="36" fillId="0" borderId="0" xfId="51" applyFont="1" applyFill="1" applyBorder="1" applyAlignment="1" applyProtection="1"/>
    <xf numFmtId="4" fontId="39" fillId="26" borderId="1" xfId="2" applyNumberFormat="1" applyFont="1" applyFill="1" applyBorder="1" applyAlignment="1">
      <alignment wrapText="1"/>
    </xf>
    <xf numFmtId="4" fontId="37" fillId="0" borderId="25" xfId="2" applyNumberFormat="1" applyFont="1" applyFill="1" applyBorder="1" applyAlignment="1">
      <alignment wrapText="1"/>
    </xf>
    <xf numFmtId="4" fontId="38" fillId="0" borderId="2" xfId="2" applyNumberFormat="1" applyFont="1" applyBorder="1" applyAlignment="1"/>
    <xf numFmtId="0" fontId="10" fillId="6" borderId="41" xfId="1" applyFont="1" applyFill="1" applyBorder="1" applyAlignment="1">
      <alignment horizontal="left"/>
    </xf>
    <xf numFmtId="0" fontId="10" fillId="5" borderId="48" xfId="1" applyFont="1" applyFill="1" applyBorder="1" applyAlignment="1">
      <alignment wrapText="1"/>
    </xf>
    <xf numFmtId="0" fontId="12" fillId="7" borderId="49" xfId="1" applyFont="1" applyFill="1" applyBorder="1" applyAlignment="1">
      <alignment horizontal="left" wrapText="1" indent="4"/>
    </xf>
    <xf numFmtId="4" fontId="11" fillId="6" borderId="50" xfId="1" applyNumberFormat="1" applyFont="1" applyFill="1" applyBorder="1" applyAlignment="1">
      <alignment horizontal="right" wrapText="1"/>
    </xf>
    <xf numFmtId="0" fontId="7" fillId="5" borderId="50" xfId="1" applyFont="1" applyFill="1" applyBorder="1" applyAlignment="1">
      <alignment wrapText="1"/>
    </xf>
    <xf numFmtId="0" fontId="4" fillId="4" borderId="51" xfId="1" applyFont="1" applyFill="1" applyBorder="1" applyAlignment="1">
      <alignment wrapText="1"/>
    </xf>
    <xf numFmtId="0" fontId="10" fillId="7" borderId="3" xfId="1" applyFont="1" applyFill="1" applyBorder="1" applyAlignment="1">
      <alignment wrapText="1"/>
    </xf>
    <xf numFmtId="0" fontId="10" fillId="6" borderId="3" xfId="1" applyFont="1" applyFill="1" applyBorder="1" applyAlignment="1">
      <alignment wrapText="1"/>
    </xf>
    <xf numFmtId="0" fontId="7" fillId="5" borderId="3" xfId="1" applyFont="1" applyFill="1" applyBorder="1" applyAlignment="1">
      <alignment wrapText="1"/>
    </xf>
    <xf numFmtId="0" fontId="4" fillId="4" borderId="49" xfId="1" applyFont="1" applyFill="1" applyBorder="1" applyAlignment="1">
      <alignment wrapText="1"/>
    </xf>
    <xf numFmtId="0" fontId="10" fillId="6" borderId="50" xfId="1" applyFont="1" applyFill="1" applyBorder="1" applyAlignment="1">
      <alignment wrapText="1"/>
    </xf>
    <xf numFmtId="0" fontId="4" fillId="4" borderId="50" xfId="1" applyFont="1" applyFill="1" applyBorder="1" applyAlignment="1">
      <alignment wrapText="1"/>
    </xf>
    <xf numFmtId="4" fontId="13" fillId="5" borderId="6" xfId="2" applyNumberFormat="1" applyFont="1" applyFill="1" applyBorder="1" applyAlignment="1">
      <alignment wrapText="1"/>
    </xf>
    <xf numFmtId="4" fontId="16" fillId="0" borderId="2" xfId="1" applyNumberFormat="1" applyFont="1" applyFill="1" applyBorder="1" applyAlignment="1">
      <alignment horizontal="center" vertical="center" wrapText="1"/>
    </xf>
    <xf numFmtId="4" fontId="15" fillId="6" borderId="6" xfId="2" applyNumberFormat="1" applyFont="1" applyFill="1" applyBorder="1" applyAlignment="1">
      <alignment wrapText="1"/>
    </xf>
    <xf numFmtId="4" fontId="10" fillId="5" borderId="6" xfId="2" applyNumberFormat="1" applyFont="1" applyFill="1" applyBorder="1" applyAlignment="1">
      <alignment wrapText="1"/>
    </xf>
    <xf numFmtId="4" fontId="8" fillId="5" borderId="6" xfId="2" applyNumberFormat="1" applyFont="1" applyFill="1" applyBorder="1" applyAlignment="1">
      <alignment wrapText="1"/>
    </xf>
    <xf numFmtId="4" fontId="6" fillId="5" borderId="6" xfId="2" applyNumberFormat="1" applyFont="1" applyFill="1" applyBorder="1" applyAlignment="1">
      <alignment wrapText="1"/>
    </xf>
    <xf numFmtId="4" fontId="46" fillId="5" borderId="6" xfId="2" applyNumberFormat="1" applyFont="1" applyFill="1" applyBorder="1" applyAlignment="1">
      <alignment wrapText="1"/>
    </xf>
    <xf numFmtId="0" fontId="11" fillId="7" borderId="32" xfId="1" applyFont="1" applyFill="1" applyBorder="1" applyAlignment="1">
      <alignment wrapText="1"/>
    </xf>
    <xf numFmtId="0" fontId="11" fillId="6" borderId="32" xfId="1" applyFont="1" applyFill="1" applyBorder="1" applyAlignment="1">
      <alignment wrapText="1"/>
    </xf>
    <xf numFmtId="0" fontId="11" fillId="5" borderId="32" xfId="1" applyFont="1" applyFill="1" applyBorder="1" applyAlignment="1">
      <alignment wrapText="1"/>
    </xf>
    <xf numFmtId="0" fontId="11" fillId="7" borderId="6" xfId="1" applyFont="1" applyFill="1" applyBorder="1" applyAlignment="1">
      <alignment horizontal="right" wrapText="1"/>
    </xf>
    <xf numFmtId="0" fontId="11" fillId="5" borderId="6" xfId="1" applyFont="1" applyFill="1" applyBorder="1" applyAlignment="1">
      <alignment horizontal="left" wrapText="1"/>
    </xf>
    <xf numFmtId="3" fontId="11" fillId="6" borderId="50" xfId="1" applyNumberFormat="1" applyFont="1" applyFill="1" applyBorder="1" applyAlignment="1">
      <alignment horizontal="right" wrapText="1"/>
    </xf>
    <xf numFmtId="0" fontId="7" fillId="5" borderId="50" xfId="1" applyFont="1" applyFill="1" applyBorder="1" applyAlignment="1">
      <alignment horizontal="left" wrapText="1"/>
    </xf>
    <xf numFmtId="0" fontId="11" fillId="6" borderId="6" xfId="1" applyFont="1" applyFill="1" applyBorder="1" applyAlignment="1">
      <alignment horizontal="right" wrapText="1"/>
    </xf>
    <xf numFmtId="0" fontId="2" fillId="0" borderId="0" xfId="1" applyFont="1" applyFill="1" applyAlignment="1">
      <alignment horizontal="left" indent="1"/>
    </xf>
    <xf numFmtId="0" fontId="4" fillId="4" borderId="37" xfId="1" applyFont="1" applyFill="1" applyBorder="1" applyAlignment="1">
      <alignment horizontal="center" wrapText="1"/>
    </xf>
    <xf numFmtId="0" fontId="4" fillId="4" borderId="38" xfId="1" applyFont="1" applyFill="1" applyBorder="1" applyAlignment="1">
      <alignment wrapText="1"/>
    </xf>
    <xf numFmtId="43" fontId="2" fillId="0" borderId="0" xfId="51" applyFont="1" applyAlignment="1">
      <alignment horizontal="left" indent="1"/>
    </xf>
    <xf numFmtId="0" fontId="7" fillId="5" borderId="41" xfId="1" applyFont="1" applyFill="1" applyBorder="1" applyAlignment="1">
      <alignment horizontal="left" wrapText="1"/>
    </xf>
    <xf numFmtId="0" fontId="7" fillId="5" borderId="42" xfId="1" applyFont="1" applyFill="1" applyBorder="1" applyAlignment="1">
      <alignment wrapText="1"/>
    </xf>
    <xf numFmtId="4" fontId="8" fillId="5" borderId="32" xfId="2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left" indent="1"/>
    </xf>
    <xf numFmtId="4" fontId="6" fillId="0" borderId="35" xfId="42" applyNumberFormat="1" applyFont="1" applyFill="1" applyBorder="1" applyAlignment="1" applyProtection="1"/>
    <xf numFmtId="0" fontId="10" fillId="0" borderId="54" xfId="1" applyFont="1" applyBorder="1" applyAlignment="1">
      <alignment horizontal="center" vertical="center" wrapText="1"/>
    </xf>
    <xf numFmtId="0" fontId="10" fillId="0" borderId="55" xfId="1" applyFont="1" applyBorder="1" applyAlignment="1">
      <alignment horizontal="center" vertical="center" wrapText="1"/>
    </xf>
    <xf numFmtId="43" fontId="45" fillId="0" borderId="27" xfId="51" applyFont="1" applyFill="1" applyBorder="1" applyAlignment="1">
      <alignment horizontal="right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2" fillId="0" borderId="6" xfId="2" applyNumberFormat="1" applyFont="1" applyBorder="1" applyAlignment="1"/>
    <xf numFmtId="4" fontId="9" fillId="7" borderId="6" xfId="1" applyNumberFormat="1" applyFont="1" applyFill="1" applyBorder="1" applyAlignment="1">
      <alignment horizontal="right" wrapText="1"/>
    </xf>
    <xf numFmtId="4" fontId="3" fillId="3" borderId="5" xfId="2" applyNumberFormat="1" applyFont="1" applyFill="1" applyBorder="1" applyAlignment="1"/>
    <xf numFmtId="4" fontId="16" fillId="0" borderId="22" xfId="1" applyNumberFormat="1" applyFont="1" applyFill="1" applyBorder="1" applyAlignment="1">
      <alignment horizontal="center" vertical="center" wrapText="1"/>
    </xf>
    <xf numFmtId="43" fontId="45" fillId="0" borderId="10" xfId="51" applyFont="1" applyFill="1" applyBorder="1" applyAlignment="1">
      <alignment horizontal="right" wrapText="1"/>
    </xf>
    <xf numFmtId="0" fontId="10" fillId="0" borderId="22" xfId="1" applyFont="1" applyBorder="1" applyAlignment="1">
      <alignment horizontal="center" vertical="center" wrapText="1"/>
    </xf>
    <xf numFmtId="43" fontId="2" fillId="0" borderId="0" xfId="51" applyFont="1" applyBorder="1" applyAlignment="1">
      <alignment horizontal="left" indent="1"/>
    </xf>
    <xf numFmtId="0" fontId="10" fillId="0" borderId="1" xfId="1" applyFont="1" applyBorder="1" applyAlignment="1">
      <alignment horizontal="center" vertical="center" wrapText="1"/>
    </xf>
    <xf numFmtId="4" fontId="2" fillId="0" borderId="3" xfId="2" applyNumberFormat="1" applyFont="1" applyBorder="1" applyAlignment="1"/>
    <xf numFmtId="4" fontId="47" fillId="0" borderId="3" xfId="2" applyNumberFormat="1" applyFont="1" applyBorder="1" applyAlignment="1"/>
    <xf numFmtId="4" fontId="35" fillId="0" borderId="3" xfId="2" applyNumberFormat="1" applyFont="1" applyFill="1" applyBorder="1" applyAlignment="1"/>
    <xf numFmtId="0" fontId="2" fillId="0" borderId="0" xfId="1" applyFont="1" applyAlignment="1">
      <alignment horizontal="left" wrapText="1" indent="1"/>
    </xf>
    <xf numFmtId="43" fontId="2" fillId="0" borderId="0" xfId="1" applyNumberFormat="1" applyFont="1" applyAlignment="1">
      <alignment horizontal="left" indent="1"/>
    </xf>
    <xf numFmtId="4" fontId="49" fillId="28" borderId="4" xfId="1" applyNumberFormat="1" applyFont="1" applyFill="1" applyBorder="1" applyAlignment="1">
      <alignment horizontal="center" vertical="center" wrapText="1"/>
    </xf>
    <xf numFmtId="43" fontId="47" fillId="0" borderId="0" xfId="1" applyNumberFormat="1" applyFont="1" applyAlignment="1">
      <alignment horizontal="left" indent="1"/>
    </xf>
    <xf numFmtId="0" fontId="6" fillId="0" borderId="0" xfId="42" applyNumberFormat="1" applyFont="1" applyFill="1" applyBorder="1" applyAlignment="1" applyProtection="1"/>
    <xf numFmtId="4" fontId="6" fillId="0" borderId="0" xfId="42" applyNumberFormat="1" applyFont="1" applyFill="1" applyBorder="1" applyAlignment="1" applyProtection="1"/>
    <xf numFmtId="43" fontId="51" fillId="0" borderId="0" xfId="51" applyFont="1" applyAlignment="1">
      <alignment horizontal="left" indent="1"/>
    </xf>
    <xf numFmtId="1" fontId="40" fillId="25" borderId="35" xfId="42" applyNumberFormat="1" applyFont="1" applyFill="1" applyBorder="1" applyAlignment="1">
      <alignment horizontal="left" wrapText="1"/>
    </xf>
    <xf numFmtId="1" fontId="37" fillId="0" borderId="32" xfId="42" applyNumberFormat="1" applyFont="1" applyBorder="1" applyAlignment="1">
      <alignment horizontal="left" wrapText="1"/>
    </xf>
    <xf numFmtId="1" fontId="37" fillId="0" borderId="57" xfId="42" applyNumberFormat="1" applyFont="1" applyBorder="1" applyAlignment="1">
      <alignment horizontal="left" wrapText="1"/>
    </xf>
    <xf numFmtId="1" fontId="37" fillId="0" borderId="34" xfId="42" applyNumberFormat="1" applyFont="1" applyBorder="1" applyAlignment="1">
      <alignment horizontal="left" wrapText="1"/>
    </xf>
    <xf numFmtId="4" fontId="40" fillId="26" borderId="58" xfId="2" applyNumberFormat="1" applyFont="1" applyFill="1" applyBorder="1" applyAlignment="1">
      <alignment wrapText="1"/>
    </xf>
    <xf numFmtId="0" fontId="38" fillId="0" borderId="60" xfId="42" applyFont="1" applyBorder="1" applyAlignment="1">
      <alignment vertical="center" wrapText="1"/>
    </xf>
    <xf numFmtId="0" fontId="38" fillId="0" borderId="61" xfId="42" applyFont="1" applyBorder="1" applyAlignment="1">
      <alignment vertical="center" wrapText="1"/>
    </xf>
    <xf numFmtId="0" fontId="38" fillId="0" borderId="62" xfId="42" applyFont="1" applyBorder="1" applyAlignment="1">
      <alignment vertical="center" wrapText="1"/>
    </xf>
    <xf numFmtId="4" fontId="40" fillId="0" borderId="63" xfId="2" applyNumberFormat="1" applyFont="1" applyBorder="1" applyAlignment="1">
      <alignment wrapText="1"/>
    </xf>
    <xf numFmtId="4" fontId="37" fillId="0" borderId="3" xfId="2" applyNumberFormat="1" applyFont="1" applyFill="1" applyBorder="1" applyAlignment="1">
      <alignment wrapText="1"/>
    </xf>
    <xf numFmtId="4" fontId="37" fillId="0" borderId="26" xfId="2" applyNumberFormat="1" applyFont="1" applyFill="1" applyBorder="1" applyAlignment="1">
      <alignment wrapText="1"/>
    </xf>
    <xf numFmtId="4" fontId="37" fillId="0" borderId="7" xfId="2" applyNumberFormat="1" applyFont="1" applyFill="1" applyBorder="1" applyAlignment="1">
      <alignment wrapText="1"/>
    </xf>
    <xf numFmtId="4" fontId="37" fillId="0" borderId="29" xfId="2" applyNumberFormat="1" applyFont="1" applyFill="1" applyBorder="1" applyAlignment="1">
      <alignment wrapText="1"/>
    </xf>
    <xf numFmtId="4" fontId="37" fillId="0" borderId="64" xfId="2" applyNumberFormat="1" applyFont="1" applyFill="1" applyBorder="1" applyAlignment="1">
      <alignment wrapText="1"/>
    </xf>
    <xf numFmtId="4" fontId="37" fillId="0" borderId="65" xfId="2" applyNumberFormat="1" applyFont="1" applyFill="1" applyBorder="1" applyAlignment="1">
      <alignment wrapText="1"/>
    </xf>
    <xf numFmtId="4" fontId="37" fillId="0" borderId="30" xfId="2" applyNumberFormat="1" applyFont="1" applyFill="1" applyBorder="1" applyAlignment="1">
      <alignment wrapText="1"/>
    </xf>
    <xf numFmtId="0" fontId="11" fillId="5" borderId="45" xfId="1" applyFont="1" applyFill="1" applyBorder="1" applyAlignment="1">
      <alignment horizontal="left" wrapText="1"/>
    </xf>
    <xf numFmtId="0" fontId="11" fillId="5" borderId="50" xfId="1" applyFont="1" applyFill="1" applyBorder="1" applyAlignment="1">
      <alignment wrapText="1"/>
    </xf>
    <xf numFmtId="4" fontId="52" fillId="5" borderId="6" xfId="2" applyNumberFormat="1" applyFont="1" applyFill="1" applyBorder="1" applyAlignment="1"/>
    <xf numFmtId="3" fontId="46" fillId="0" borderId="0" xfId="42" applyNumberFormat="1" applyFont="1" applyFill="1" applyBorder="1" applyAlignment="1" applyProtection="1">
      <alignment horizontal="left" vertical="center"/>
    </xf>
    <xf numFmtId="3" fontId="36" fillId="0" borderId="0" xfId="42" applyNumberFormat="1" applyFont="1" applyFill="1" applyBorder="1" applyAlignment="1" applyProtection="1">
      <alignment horizontal="left" vertical="center"/>
    </xf>
    <xf numFmtId="4" fontId="36" fillId="0" borderId="3" xfId="42" applyNumberFormat="1" applyFont="1" applyFill="1" applyBorder="1" applyAlignment="1" applyProtection="1"/>
    <xf numFmtId="0" fontId="36" fillId="0" borderId="3" xfId="42" applyNumberFormat="1" applyFont="1" applyFill="1" applyBorder="1" applyAlignment="1" applyProtection="1"/>
    <xf numFmtId="4" fontId="2" fillId="0" borderId="6" xfId="2" applyNumberFormat="1" applyFont="1" applyFill="1" applyBorder="1" applyAlignment="1"/>
    <xf numFmtId="4" fontId="15" fillId="7" borderId="52" xfId="51" applyNumberFormat="1" applyFont="1" applyFill="1" applyBorder="1" applyAlignment="1">
      <alignment horizontal="right" wrapText="1"/>
    </xf>
    <xf numFmtId="4" fontId="15" fillId="6" borderId="32" xfId="51" applyNumberFormat="1" applyFont="1" applyFill="1" applyBorder="1" applyAlignment="1">
      <alignment wrapText="1"/>
    </xf>
    <xf numFmtId="4" fontId="15" fillId="6" borderId="6" xfId="51" applyNumberFormat="1" applyFont="1" applyFill="1" applyBorder="1" applyAlignment="1">
      <alignment wrapText="1"/>
    </xf>
    <xf numFmtId="4" fontId="13" fillId="5" borderId="32" xfId="51" applyNumberFormat="1" applyFont="1" applyFill="1" applyBorder="1" applyAlignment="1">
      <alignment wrapText="1"/>
    </xf>
    <xf numFmtId="4" fontId="13" fillId="5" borderId="6" xfId="51" applyNumberFormat="1" applyFont="1" applyFill="1" applyBorder="1" applyAlignment="1">
      <alignment wrapText="1"/>
    </xf>
    <xf numFmtId="4" fontId="45" fillId="0" borderId="52" xfId="51" applyNumberFormat="1" applyFont="1" applyFill="1" applyBorder="1" applyAlignment="1">
      <alignment horizontal="right" wrapText="1"/>
    </xf>
    <xf numFmtId="4" fontId="2" fillId="0" borderId="6" xfId="51" applyNumberFormat="1" applyFont="1" applyBorder="1" applyAlignment="1"/>
    <xf numFmtId="4" fontId="2" fillId="0" borderId="6" xfId="51" applyNumberFormat="1" applyFont="1" applyFill="1" applyBorder="1" applyAlignment="1"/>
    <xf numFmtId="4" fontId="10" fillId="5" borderId="32" xfId="51" applyNumberFormat="1" applyFont="1" applyFill="1" applyBorder="1" applyAlignment="1">
      <alignment wrapText="1"/>
    </xf>
    <xf numFmtId="4" fontId="10" fillId="5" borderId="6" xfId="51" applyNumberFormat="1" applyFont="1" applyFill="1" applyBorder="1" applyAlignment="1">
      <alignment wrapText="1"/>
    </xf>
    <xf numFmtId="4" fontId="45" fillId="0" borderId="53" xfId="51" applyNumberFormat="1" applyFont="1" applyFill="1" applyBorder="1" applyAlignment="1">
      <alignment horizontal="right" wrapText="1"/>
    </xf>
    <xf numFmtId="4" fontId="13" fillId="5" borderId="52" xfId="51" applyNumberFormat="1" applyFont="1" applyFill="1" applyBorder="1" applyAlignment="1">
      <alignment wrapText="1"/>
    </xf>
    <xf numFmtId="4" fontId="48" fillId="0" borderId="52" xfId="51" applyNumberFormat="1" applyFont="1" applyFill="1" applyBorder="1" applyAlignment="1">
      <alignment horizontal="right" wrapText="1"/>
    </xf>
    <xf numFmtId="4" fontId="9" fillId="6" borderId="32" xfId="51" applyNumberFormat="1" applyFont="1" applyFill="1" applyBorder="1" applyAlignment="1">
      <alignment wrapText="1"/>
    </xf>
    <xf numFmtId="4" fontId="9" fillId="6" borderId="6" xfId="51" applyNumberFormat="1" applyFont="1" applyFill="1" applyBorder="1" applyAlignment="1">
      <alignment wrapText="1"/>
    </xf>
    <xf numFmtId="4" fontId="8" fillId="5" borderId="32" xfId="51" applyNumberFormat="1" applyFont="1" applyFill="1" applyBorder="1" applyAlignment="1">
      <alignment wrapText="1"/>
    </xf>
    <xf numFmtId="4" fontId="45" fillId="0" borderId="32" xfId="51" applyNumberFormat="1" applyFont="1" applyFill="1" applyBorder="1" applyAlignment="1">
      <alignment horizontal="right" wrapText="1"/>
    </xf>
    <xf numFmtId="4" fontId="8" fillId="5" borderId="6" xfId="51" applyNumberFormat="1" applyFont="1" applyFill="1" applyBorder="1" applyAlignment="1">
      <alignment wrapText="1"/>
    </xf>
    <xf numFmtId="4" fontId="6" fillId="5" borderId="32" xfId="51" applyNumberFormat="1" applyFont="1" applyFill="1" applyBorder="1" applyAlignment="1">
      <alignment wrapText="1"/>
    </xf>
    <xf numFmtId="4" fontId="6" fillId="5" borderId="6" xfId="51" applyNumberFormat="1" applyFont="1" applyFill="1" applyBorder="1" applyAlignment="1">
      <alignment wrapText="1"/>
    </xf>
    <xf numFmtId="4" fontId="5" fillId="7" borderId="32" xfId="51" applyNumberFormat="1" applyFont="1" applyFill="1" applyBorder="1" applyAlignment="1">
      <alignment wrapText="1"/>
    </xf>
    <xf numFmtId="4" fontId="5" fillId="7" borderId="6" xfId="51" applyNumberFormat="1" applyFont="1" applyFill="1" applyBorder="1" applyAlignment="1">
      <alignment wrapText="1"/>
    </xf>
    <xf numFmtId="4" fontId="5" fillId="6" borderId="32" xfId="51" applyNumberFormat="1" applyFont="1" applyFill="1" applyBorder="1" applyAlignment="1">
      <alignment wrapText="1"/>
    </xf>
    <xf numFmtId="4" fontId="5" fillId="6" borderId="6" xfId="51" applyNumberFormat="1" applyFont="1" applyFill="1" applyBorder="1" applyAlignment="1">
      <alignment wrapText="1"/>
    </xf>
    <xf numFmtId="4" fontId="46" fillId="5" borderId="32" xfId="51" applyNumberFormat="1" applyFont="1" applyFill="1" applyBorder="1" applyAlignment="1">
      <alignment wrapText="1"/>
    </xf>
    <xf numFmtId="4" fontId="46" fillId="5" borderId="6" xfId="51" applyNumberFormat="1" applyFont="1" applyFill="1" applyBorder="1" applyAlignment="1">
      <alignment wrapText="1"/>
    </xf>
    <xf numFmtId="4" fontId="3" fillId="3" borderId="4" xfId="51" applyNumberFormat="1" applyFont="1" applyFill="1" applyBorder="1" applyAlignment="1"/>
    <xf numFmtId="4" fontId="3" fillId="3" borderId="5" xfId="51" applyNumberFormat="1" applyFont="1" applyFill="1" applyBorder="1" applyAlignment="1"/>
    <xf numFmtId="4" fontId="2" fillId="0" borderId="0" xfId="51" applyNumberFormat="1" applyFont="1" applyAlignment="1"/>
    <xf numFmtId="4" fontId="2" fillId="0" borderId="0" xfId="51" applyNumberFormat="1" applyFont="1" applyAlignment="1">
      <alignment horizontal="left" indent="1"/>
    </xf>
    <xf numFmtId="4" fontId="2" fillId="0" borderId="0" xfId="51" applyNumberFormat="1" applyFont="1" applyFill="1" applyAlignment="1"/>
    <xf numFmtId="4" fontId="2" fillId="0" borderId="3" xfId="51" applyNumberFormat="1" applyFont="1" applyBorder="1" applyAlignment="1"/>
    <xf numFmtId="4" fontId="16" fillId="0" borderId="3" xfId="51" applyNumberFormat="1" applyFont="1" applyBorder="1" applyAlignment="1"/>
    <xf numFmtId="4" fontId="47" fillId="0" borderId="3" xfId="51" applyNumberFormat="1" applyFont="1" applyBorder="1" applyAlignment="1"/>
    <xf numFmtId="4" fontId="35" fillId="0" borderId="3" xfId="51" applyNumberFormat="1" applyFont="1" applyFill="1" applyBorder="1" applyAlignment="1"/>
    <xf numFmtId="4" fontId="2" fillId="0" borderId="0" xfId="51" applyNumberFormat="1" applyFont="1" applyFill="1" applyAlignment="1">
      <alignment horizontal="left" indent="1"/>
    </xf>
    <xf numFmtId="4" fontId="47" fillId="0" borderId="0" xfId="51" applyNumberFormat="1" applyFont="1" applyBorder="1" applyAlignment="1">
      <alignment horizontal="left" indent="1"/>
    </xf>
    <xf numFmtId="4" fontId="53" fillId="5" borderId="32" xfId="51" applyNumberFormat="1" applyFont="1" applyFill="1" applyBorder="1" applyAlignment="1">
      <alignment horizontal="right" wrapText="1"/>
    </xf>
    <xf numFmtId="4" fontId="16" fillId="5" borderId="6" xfId="51" applyNumberFormat="1" applyFont="1" applyFill="1" applyBorder="1" applyAlignment="1"/>
    <xf numFmtId="4" fontId="15" fillId="6" borderId="52" xfId="51" applyNumberFormat="1" applyFont="1" applyFill="1" applyBorder="1" applyAlignment="1">
      <alignment wrapText="1"/>
    </xf>
    <xf numFmtId="4" fontId="9" fillId="7" borderId="9" xfId="51" applyNumberFormat="1" applyFont="1" applyFill="1" applyBorder="1" applyAlignment="1">
      <alignment horizontal="right" wrapText="1"/>
    </xf>
    <xf numFmtId="4" fontId="2" fillId="0" borderId="32" xfId="51" applyNumberFormat="1" applyFont="1" applyBorder="1" applyAlignment="1"/>
    <xf numFmtId="4" fontId="53" fillId="5" borderId="52" xfId="51" applyNumberFormat="1" applyFont="1" applyFill="1" applyBorder="1" applyAlignment="1">
      <alignment horizontal="right" wrapText="1"/>
    </xf>
    <xf numFmtId="0" fontId="4" fillId="4" borderId="66" xfId="1" applyFont="1" applyFill="1" applyBorder="1" applyAlignment="1">
      <alignment horizontal="center" wrapText="1"/>
    </xf>
    <xf numFmtId="0" fontId="4" fillId="4" borderId="53" xfId="1" applyFont="1" applyFill="1" applyBorder="1" applyAlignment="1">
      <alignment wrapText="1"/>
    </xf>
    <xf numFmtId="0" fontId="11" fillId="5" borderId="67" xfId="1" applyFont="1" applyFill="1" applyBorder="1" applyAlignment="1">
      <alignment wrapText="1"/>
    </xf>
    <xf numFmtId="4" fontId="16" fillId="5" borderId="6" xfId="2" applyNumberFormat="1" applyFont="1" applyFill="1" applyBorder="1" applyAlignment="1"/>
    <xf numFmtId="0" fontId="11" fillId="5" borderId="67" xfId="1" applyFont="1" applyFill="1" applyBorder="1" applyAlignment="1">
      <alignment horizontal="left" wrapText="1"/>
    </xf>
    <xf numFmtId="4" fontId="37" fillId="0" borderId="28" xfId="2" applyNumberFormat="1" applyFont="1" applyFill="1" applyBorder="1" applyAlignment="1">
      <alignment wrapText="1"/>
    </xf>
    <xf numFmtId="4" fontId="37" fillId="0" borderId="36" xfId="2" applyNumberFormat="1" applyFont="1" applyFill="1" applyBorder="1" applyAlignment="1">
      <alignment wrapText="1"/>
    </xf>
    <xf numFmtId="1" fontId="38" fillId="25" borderId="21" xfId="42" applyNumberFormat="1" applyFont="1" applyFill="1" applyBorder="1" applyAlignment="1">
      <alignment horizontal="left" vertical="center" wrapText="1"/>
    </xf>
    <xf numFmtId="1" fontId="38" fillId="25" borderId="4" xfId="42" applyNumberFormat="1" applyFont="1" applyFill="1" applyBorder="1" applyAlignment="1">
      <alignment horizontal="left" vertical="center" wrapText="1"/>
    </xf>
    <xf numFmtId="0" fontId="38" fillId="0" borderId="2" xfId="42" applyFont="1" applyBorder="1" applyAlignment="1">
      <alignment vertical="center" wrapText="1"/>
    </xf>
    <xf numFmtId="4" fontId="37" fillId="0" borderId="27" xfId="2" applyNumberFormat="1" applyFont="1" applyFill="1" applyBorder="1" applyAlignment="1">
      <alignment wrapText="1"/>
    </xf>
    <xf numFmtId="4" fontId="37" fillId="0" borderId="69" xfId="2" applyNumberFormat="1" applyFont="1" applyFill="1" applyBorder="1" applyAlignment="1">
      <alignment wrapText="1"/>
    </xf>
    <xf numFmtId="4" fontId="37" fillId="0" borderId="11" xfId="2" applyNumberFormat="1" applyFont="1" applyFill="1" applyBorder="1" applyAlignment="1">
      <alignment wrapText="1"/>
    </xf>
    <xf numFmtId="43" fontId="6" fillId="0" borderId="0" xfId="51" applyFont="1" applyFill="1" applyBorder="1" applyAlignment="1" applyProtection="1"/>
    <xf numFmtId="0" fontId="36" fillId="0" borderId="56" xfId="42" applyNumberFormat="1" applyFont="1" applyFill="1" applyBorder="1" applyAlignment="1" applyProtection="1"/>
    <xf numFmtId="0" fontId="36" fillId="0" borderId="47" xfId="42" applyNumberFormat="1" applyFont="1" applyFill="1" applyBorder="1" applyAlignment="1" applyProtection="1"/>
    <xf numFmtId="4" fontId="36" fillId="0" borderId="56" xfId="42" applyNumberFormat="1" applyFont="1" applyFill="1" applyBorder="1" applyAlignment="1" applyProtection="1"/>
    <xf numFmtId="0" fontId="46" fillId="0" borderId="0" xfId="42" applyNumberFormat="1" applyFont="1" applyFill="1" applyBorder="1" applyAlignment="1" applyProtection="1">
      <alignment vertical="center"/>
    </xf>
    <xf numFmtId="43" fontId="46" fillId="0" borderId="0" xfId="51" applyFont="1" applyFill="1" applyBorder="1" applyAlignment="1" applyProtection="1"/>
    <xf numFmtId="4" fontId="16" fillId="0" borderId="46" xfId="51" applyNumberFormat="1" applyFont="1" applyBorder="1" applyAlignment="1"/>
    <xf numFmtId="4" fontId="2" fillId="0" borderId="63" xfId="51" applyNumberFormat="1" applyFont="1" applyBorder="1" applyAlignment="1">
      <alignment horizontal="left" indent="1"/>
    </xf>
    <xf numFmtId="4" fontId="2" fillId="0" borderId="59" xfId="51" applyNumberFormat="1" applyFont="1" applyBorder="1" applyAlignment="1">
      <alignment horizontal="left" wrapText="1" indent="1"/>
    </xf>
    <xf numFmtId="1" fontId="37" fillId="0" borderId="32" xfId="42" applyNumberFormat="1" applyFont="1" applyFill="1" applyBorder="1" applyAlignment="1">
      <alignment horizontal="left" wrapText="1"/>
    </xf>
    <xf numFmtId="1" fontId="37" fillId="0" borderId="57" xfId="42" applyNumberFormat="1" applyFont="1" applyFill="1" applyBorder="1" applyAlignment="1">
      <alignment horizontal="left" wrapText="1"/>
    </xf>
    <xf numFmtId="4" fontId="2" fillId="0" borderId="0" xfId="51" applyNumberFormat="1" applyFont="1" applyBorder="1" applyAlignment="1">
      <alignment horizontal="left" wrapText="1" indent="1"/>
    </xf>
    <xf numFmtId="4" fontId="2" fillId="0" borderId="0" xfId="51" applyNumberFormat="1" applyFont="1" applyBorder="1" applyAlignment="1">
      <alignment horizontal="left" indent="1"/>
    </xf>
    <xf numFmtId="43" fontId="54" fillId="0" borderId="0" xfId="51" applyFont="1" applyFill="1" applyBorder="1" applyAlignment="1" applyProtection="1"/>
    <xf numFmtId="0" fontId="40" fillId="0" borderId="0" xfId="42" applyNumberFormat="1" applyFont="1" applyFill="1" applyBorder="1" applyAlignment="1" applyProtection="1">
      <alignment vertical="center"/>
    </xf>
    <xf numFmtId="0" fontId="15" fillId="29" borderId="4" xfId="42" applyNumberFormat="1" applyFont="1" applyFill="1" applyBorder="1" applyAlignment="1" applyProtection="1">
      <alignment horizontal="center" vertical="center" wrapText="1"/>
    </xf>
    <xf numFmtId="0" fontId="15" fillId="29" borderId="22" xfId="42" applyNumberFormat="1" applyFont="1" applyFill="1" applyBorder="1" applyAlignment="1" applyProtection="1">
      <alignment horizontal="center" vertical="center" wrapText="1"/>
    </xf>
    <xf numFmtId="0" fontId="15" fillId="29" borderId="2" xfId="42" applyNumberFormat="1" applyFont="1" applyFill="1" applyBorder="1" applyAlignment="1" applyProtection="1">
      <alignment horizontal="center" vertical="center" wrapText="1"/>
    </xf>
    <xf numFmtId="4" fontId="38" fillId="0" borderId="4" xfId="2" applyNumberFormat="1" applyFont="1" applyBorder="1" applyAlignment="1">
      <alignment horizontal="center"/>
    </xf>
    <xf numFmtId="4" fontId="38" fillId="0" borderId="22" xfId="2" applyNumberFormat="1" applyFont="1" applyBorder="1" applyAlignment="1">
      <alignment horizontal="center"/>
    </xf>
    <xf numFmtId="4" fontId="38" fillId="0" borderId="2" xfId="2" applyNumberFormat="1" applyFont="1" applyBorder="1" applyAlignment="1">
      <alignment horizontal="center"/>
    </xf>
    <xf numFmtId="0" fontId="15" fillId="27" borderId="4" xfId="42" applyNumberFormat="1" applyFont="1" applyFill="1" applyBorder="1" applyAlignment="1" applyProtection="1">
      <alignment horizontal="center" vertical="center" wrapText="1"/>
    </xf>
    <xf numFmtId="0" fontId="15" fillId="27" borderId="22" xfId="42" applyNumberFormat="1" applyFont="1" applyFill="1" applyBorder="1" applyAlignment="1" applyProtection="1">
      <alignment horizontal="center" vertical="center" wrapText="1"/>
    </xf>
    <xf numFmtId="0" fontId="15" fillId="27" borderId="2" xfId="42" applyNumberFormat="1" applyFont="1" applyFill="1" applyBorder="1" applyAlignment="1" applyProtection="1">
      <alignment horizontal="center" vertical="center" wrapText="1"/>
    </xf>
    <xf numFmtId="0" fontId="38" fillId="0" borderId="23" xfId="42" applyFont="1" applyFill="1" applyBorder="1" applyAlignment="1">
      <alignment horizontal="center" vertical="center"/>
    </xf>
    <xf numFmtId="0" fontId="38" fillId="0" borderId="68" xfId="42" applyFont="1" applyFill="1" applyBorder="1" applyAlignment="1">
      <alignment horizontal="center" vertical="center"/>
    </xf>
    <xf numFmtId="0" fontId="38" fillId="0" borderId="22" xfId="42" applyFont="1" applyFill="1" applyBorder="1" applyAlignment="1">
      <alignment horizontal="center" vertical="center"/>
    </xf>
    <xf numFmtId="0" fontId="38" fillId="0" borderId="2" xfId="42" applyFont="1" applyFill="1" applyBorder="1" applyAlignment="1">
      <alignment horizontal="center" vertical="center"/>
    </xf>
    <xf numFmtId="4" fontId="36" fillId="0" borderId="9" xfId="42" applyNumberFormat="1" applyFont="1" applyFill="1" applyBorder="1" applyAlignment="1" applyProtection="1">
      <alignment horizontal="center"/>
    </xf>
    <xf numFmtId="4" fontId="36" fillId="0" borderId="27" xfId="42" applyNumberFormat="1" applyFont="1" applyFill="1" applyBorder="1" applyAlignment="1" applyProtection="1">
      <alignment horizontal="center"/>
    </xf>
    <xf numFmtId="0" fontId="15" fillId="28" borderId="4" xfId="42" applyNumberFormat="1" applyFont="1" applyFill="1" applyBorder="1" applyAlignment="1" applyProtection="1">
      <alignment horizontal="center" vertical="center" wrapText="1"/>
    </xf>
    <xf numFmtId="0" fontId="15" fillId="28" borderId="22" xfId="42" applyNumberFormat="1" applyFont="1" applyFill="1" applyBorder="1" applyAlignment="1" applyProtection="1">
      <alignment horizontal="center" vertical="center" wrapText="1"/>
    </xf>
    <xf numFmtId="0" fontId="15" fillId="28" borderId="2" xfId="42" applyNumberFormat="1" applyFont="1" applyFill="1" applyBorder="1" applyAlignment="1" applyProtection="1">
      <alignment horizontal="center" vertical="center" wrapText="1"/>
    </xf>
    <xf numFmtId="0" fontId="6" fillId="0" borderId="4" xfId="42" applyNumberFormat="1" applyFont="1" applyFill="1" applyBorder="1" applyAlignment="1" applyProtection="1">
      <alignment horizontal="center" vertical="center" wrapText="1"/>
    </xf>
    <xf numFmtId="0" fontId="6" fillId="0" borderId="22" xfId="42" applyNumberFormat="1" applyFont="1" applyFill="1" applyBorder="1" applyAlignment="1" applyProtection="1">
      <alignment horizontal="center" vertical="center" wrapText="1"/>
    </xf>
    <xf numFmtId="0" fontId="6" fillId="0" borderId="2" xfId="42" applyNumberFormat="1" applyFont="1" applyFill="1" applyBorder="1" applyAlignment="1" applyProtection="1">
      <alignment horizontal="center" vertical="center" wrapText="1"/>
    </xf>
    <xf numFmtId="0" fontId="44" fillId="0" borderId="4" xfId="1" applyFont="1" applyBorder="1" applyAlignment="1">
      <alignment horizontal="center" wrapText="1"/>
    </xf>
    <xf numFmtId="0" fontId="44" fillId="0" borderId="22" xfId="1" applyFont="1" applyBorder="1" applyAlignment="1">
      <alignment horizontal="center" wrapText="1"/>
    </xf>
    <xf numFmtId="0" fontId="44" fillId="0" borderId="2" xfId="1" applyFont="1" applyBorder="1" applyAlignment="1">
      <alignment horizontal="center" wrapText="1"/>
    </xf>
    <xf numFmtId="4" fontId="55" fillId="0" borderId="6" xfId="51" applyNumberFormat="1" applyFont="1" applyFill="1" applyBorder="1" applyAlignment="1"/>
    <xf numFmtId="4" fontId="55" fillId="0" borderId="6" xfId="2" applyNumberFormat="1" applyFont="1" applyFill="1" applyBorder="1" applyAlignment="1"/>
    <xf numFmtId="4" fontId="55" fillId="0" borderId="6" xfId="51" applyNumberFormat="1" applyFont="1" applyBorder="1" applyAlignment="1"/>
    <xf numFmtId="4" fontId="55" fillId="0" borderId="6" xfId="2" applyNumberFormat="1" applyFont="1" applyBorder="1" applyAlignment="1"/>
    <xf numFmtId="0" fontId="37" fillId="0" borderId="0" xfId="42" applyNumberFormat="1" applyFont="1" applyFill="1" applyBorder="1" applyAlignment="1" applyProtection="1">
      <alignment vertical="center"/>
    </xf>
  </cellXfs>
  <cellStyles count="5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2" xfId="39"/>
    <cellStyle name="Normalno 2" xfId="1"/>
    <cellStyle name="Note" xfId="40"/>
    <cellStyle name="Obično" xfId="0" builtinId="0"/>
    <cellStyle name="Obično 2" xfId="41"/>
    <cellStyle name="Obično 3" xfId="42"/>
    <cellStyle name="Obično 3 2" xfId="43"/>
    <cellStyle name="Obično 3 3" xfId="44"/>
    <cellStyle name="Output" xfId="45"/>
    <cellStyle name="Title" xfId="46"/>
    <cellStyle name="Total" xfId="47"/>
    <cellStyle name="Warning Text" xfId="48"/>
    <cellStyle name="Zarez" xfId="51" builtinId="3"/>
    <cellStyle name="Zarez 2" xfId="2"/>
    <cellStyle name="Zarez 2 2" xfId="49"/>
    <cellStyle name="Zarez 2 3" xfId="50"/>
  </cellStyles>
  <dxfs count="0"/>
  <tableStyles count="0" defaultTableStyle="TableStyleMedium9" defaultPivotStyle="PivotStyleLight16"/>
  <colors>
    <mruColors>
      <color rgb="FF99CCFF"/>
      <color rgb="FFFF99FF"/>
      <color rgb="FFFFFFCC"/>
      <color rgb="FFCCFF99"/>
      <color rgb="FFFFCCCC"/>
      <color rgb="FFFFCCFF"/>
      <color rgb="FFF0FDCF"/>
      <color rgb="FF0066FF"/>
      <color rgb="FF66FFCC"/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4" name="TekstniOkvir 3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5" name="TekstniOkvir 4"/>
        <xdr:cNvSpPr txBox="1"/>
      </xdr:nvSpPr>
      <xdr:spPr>
        <a:xfrm>
          <a:off x="128206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6" name="TekstniOkvir 5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7" name="TekstniOkvir 6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8" name="TekstniOkvir 7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9" name="TekstniOkvir 8"/>
        <xdr:cNvSpPr txBox="1"/>
      </xdr:nvSpPr>
      <xdr:spPr>
        <a:xfrm>
          <a:off x="12906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0" name="TekstniOkvir 9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1" name="TekstniOkvir 10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2" name="TekstniOkvir 11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14</xdr:col>
      <xdr:colOff>0</xdr:colOff>
      <xdr:row>0</xdr:row>
      <xdr:rowOff>0</xdr:rowOff>
    </xdr:from>
    <xdr:ext cx="184731" cy="264560"/>
    <xdr:sp macro="" textlink="">
      <xdr:nvSpPr>
        <xdr:cNvPr id="13" name="TekstniOkvir 12"/>
        <xdr:cNvSpPr txBox="1"/>
      </xdr:nvSpPr>
      <xdr:spPr>
        <a:xfrm>
          <a:off x="121634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121"/>
  <sheetViews>
    <sheetView tabSelected="1" workbookViewId="0">
      <selection activeCell="B124" sqref="B124"/>
    </sheetView>
  </sheetViews>
  <sheetFormatPr defaultColWidth="11.42578125" defaultRowHeight="12.75"/>
  <cols>
    <col min="1" max="1" width="20" style="13" customWidth="1"/>
    <col min="2" max="4" width="17.42578125" style="13" customWidth="1"/>
    <col min="5" max="5" width="12.7109375" style="13" bestFit="1" customWidth="1"/>
    <col min="6" max="6" width="19.85546875" style="13" bestFit="1" customWidth="1"/>
    <col min="7" max="7" width="14.7109375" style="13" bestFit="1" customWidth="1"/>
    <col min="8" max="8" width="15.5703125" style="14" bestFit="1" customWidth="1"/>
    <col min="9" max="9" width="10.5703125" style="5" bestFit="1" customWidth="1"/>
    <col min="10" max="10" width="14" style="5" bestFit="1" customWidth="1"/>
    <col min="11" max="11" width="10.140625" style="5" bestFit="1" customWidth="1"/>
    <col min="12" max="12" width="13.85546875" style="5" bestFit="1" customWidth="1"/>
    <col min="13" max="13" width="5.28515625" style="5" customWidth="1"/>
    <col min="14" max="15" width="14" style="5" bestFit="1" customWidth="1"/>
    <col min="16" max="16384" width="11.42578125" style="5"/>
  </cols>
  <sheetData>
    <row r="1" spans="1:12" ht="16.5" thickBot="1">
      <c r="A1" s="13" t="s">
        <v>152</v>
      </c>
      <c r="B1" s="4"/>
      <c r="C1" s="4"/>
      <c r="D1" s="4"/>
      <c r="E1" s="20"/>
      <c r="F1" s="20"/>
      <c r="G1" s="2"/>
      <c r="H1" s="2"/>
      <c r="I1" s="2"/>
      <c r="J1" s="2"/>
      <c r="K1" s="3"/>
      <c r="L1" s="3"/>
    </row>
    <row r="2" spans="1:12" ht="16.5" customHeight="1" thickBot="1">
      <c r="A2" s="215" t="s">
        <v>194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7"/>
    </row>
    <row r="3" spans="1:12" ht="13.5" thickBot="1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8" t="s">
        <v>178</v>
      </c>
    </row>
    <row r="4" spans="1:12" ht="26.25" thickBot="1">
      <c r="A4" s="55" t="s">
        <v>129</v>
      </c>
      <c r="B4" s="224" t="s">
        <v>195</v>
      </c>
      <c r="C4" s="225"/>
      <c r="D4" s="225"/>
      <c r="E4" s="226"/>
      <c r="F4" s="226"/>
      <c r="G4" s="226"/>
      <c r="H4" s="226"/>
      <c r="I4" s="226"/>
      <c r="J4" s="226"/>
      <c r="K4" s="226"/>
      <c r="L4" s="227"/>
    </row>
    <row r="5" spans="1:12" ht="128.25" thickBot="1">
      <c r="A5" s="56" t="s">
        <v>130</v>
      </c>
      <c r="B5" s="195" t="s">
        <v>144</v>
      </c>
      <c r="C5" s="194" t="s">
        <v>211</v>
      </c>
      <c r="D5" s="196" t="s">
        <v>145</v>
      </c>
      <c r="E5" s="125" t="s">
        <v>146</v>
      </c>
      <c r="F5" s="126" t="s">
        <v>147</v>
      </c>
      <c r="G5" s="126" t="s">
        <v>148</v>
      </c>
      <c r="H5" s="126" t="s">
        <v>149</v>
      </c>
      <c r="I5" s="126" t="s">
        <v>150</v>
      </c>
      <c r="J5" s="127" t="s">
        <v>175</v>
      </c>
      <c r="K5" s="127" t="s">
        <v>151</v>
      </c>
      <c r="L5" s="57" t="s">
        <v>0</v>
      </c>
    </row>
    <row r="6" spans="1:12" ht="25.5">
      <c r="A6" s="120" t="s">
        <v>131</v>
      </c>
      <c r="B6" s="198"/>
      <c r="C6" s="197"/>
      <c r="D6" s="199"/>
      <c r="E6" s="60"/>
      <c r="F6" s="60"/>
      <c r="G6" s="60">
        <v>40000</v>
      </c>
      <c r="H6" s="60"/>
      <c r="I6" s="60"/>
      <c r="J6" s="60"/>
      <c r="K6" s="130"/>
      <c r="L6" s="124">
        <f>SUM(B6:K6)</f>
        <v>40000</v>
      </c>
    </row>
    <row r="7" spans="1:12">
      <c r="A7" s="121" t="s">
        <v>132</v>
      </c>
      <c r="B7" s="131"/>
      <c r="C7" s="192"/>
      <c r="D7" s="129"/>
      <c r="E7" s="129">
        <v>600</v>
      </c>
      <c r="F7" s="129"/>
      <c r="G7" s="129"/>
      <c r="H7" s="129"/>
      <c r="I7" s="129"/>
      <c r="J7" s="129"/>
      <c r="K7" s="132"/>
      <c r="L7" s="124">
        <f t="shared" ref="L7:L25" si="0">SUM(B7:K7)</f>
        <v>600</v>
      </c>
    </row>
    <row r="8" spans="1:12" ht="25.5">
      <c r="A8" s="121" t="s">
        <v>173</v>
      </c>
      <c r="B8" s="131"/>
      <c r="C8" s="192"/>
      <c r="D8" s="129"/>
      <c r="E8" s="129">
        <v>300</v>
      </c>
      <c r="F8" s="129"/>
      <c r="G8" s="129"/>
      <c r="H8" s="129"/>
      <c r="I8" s="129"/>
      <c r="J8" s="129"/>
      <c r="K8" s="132"/>
      <c r="L8" s="124">
        <f t="shared" si="0"/>
        <v>300</v>
      </c>
    </row>
    <row r="9" spans="1:12" ht="25.5">
      <c r="A9" s="121" t="s">
        <v>133</v>
      </c>
      <c r="B9" s="131"/>
      <c r="C9" s="192"/>
      <c r="D9" s="129"/>
      <c r="E9" s="129">
        <v>100</v>
      </c>
      <c r="F9" s="129"/>
      <c r="G9" s="129"/>
      <c r="H9" s="129"/>
      <c r="I9" s="129"/>
      <c r="J9" s="129"/>
      <c r="K9" s="132"/>
      <c r="L9" s="124">
        <f t="shared" si="0"/>
        <v>100</v>
      </c>
    </row>
    <row r="10" spans="1:12">
      <c r="A10" s="121" t="s">
        <v>134</v>
      </c>
      <c r="B10" s="131"/>
      <c r="C10" s="192"/>
      <c r="D10" s="129"/>
      <c r="E10" s="129"/>
      <c r="F10" s="129">
        <f>2367500+40000</f>
        <v>2407500</v>
      </c>
      <c r="G10" s="129"/>
      <c r="H10" s="129"/>
      <c r="I10" s="129"/>
      <c r="J10" s="129"/>
      <c r="K10" s="132"/>
      <c r="L10" s="124">
        <f t="shared" si="0"/>
        <v>2407500</v>
      </c>
    </row>
    <row r="11" spans="1:12" ht="38.25">
      <c r="A11" s="209" t="s">
        <v>204</v>
      </c>
      <c r="B11" s="131"/>
      <c r="C11" s="192"/>
      <c r="D11" s="129"/>
      <c r="E11" s="129"/>
      <c r="F11" s="129">
        <v>2000</v>
      </c>
      <c r="G11" s="129"/>
      <c r="H11" s="129"/>
      <c r="I11" s="129"/>
      <c r="J11" s="129"/>
      <c r="K11" s="132"/>
      <c r="L11" s="124">
        <f t="shared" si="0"/>
        <v>2000</v>
      </c>
    </row>
    <row r="12" spans="1:12">
      <c r="A12" s="209" t="s">
        <v>135</v>
      </c>
      <c r="B12" s="131"/>
      <c r="C12" s="192"/>
      <c r="D12" s="129"/>
      <c r="E12" s="129"/>
      <c r="F12" s="129"/>
      <c r="G12" s="129"/>
      <c r="H12" s="129"/>
      <c r="I12" s="129">
        <v>40000</v>
      </c>
      <c r="J12" s="129"/>
      <c r="K12" s="132"/>
      <c r="L12" s="124">
        <f t="shared" si="0"/>
        <v>40000</v>
      </c>
    </row>
    <row r="13" spans="1:12">
      <c r="A13" s="209" t="s">
        <v>136</v>
      </c>
      <c r="B13" s="131"/>
      <c r="C13" s="192"/>
      <c r="D13" s="129"/>
      <c r="E13" s="129">
        <f>2371000+60000+20000</f>
        <v>2451000</v>
      </c>
      <c r="F13" s="129"/>
      <c r="G13" s="129"/>
      <c r="H13" s="129"/>
      <c r="I13" s="129"/>
      <c r="J13" s="129"/>
      <c r="K13" s="132"/>
      <c r="L13" s="124">
        <f t="shared" si="0"/>
        <v>2451000</v>
      </c>
    </row>
    <row r="14" spans="1:12" ht="25.5">
      <c r="A14" s="209" t="s">
        <v>174</v>
      </c>
      <c r="B14" s="131"/>
      <c r="C14" s="192"/>
      <c r="D14" s="129"/>
      <c r="E14" s="129"/>
      <c r="F14" s="129"/>
      <c r="G14" s="129"/>
      <c r="H14" s="129">
        <v>1000</v>
      </c>
      <c r="I14" s="129"/>
      <c r="J14" s="129"/>
      <c r="K14" s="132"/>
      <c r="L14" s="124">
        <f t="shared" si="0"/>
        <v>1000</v>
      </c>
    </row>
    <row r="15" spans="1:12">
      <c r="A15" s="209" t="s">
        <v>137</v>
      </c>
      <c r="B15" s="131"/>
      <c r="C15" s="192"/>
      <c r="D15" s="129"/>
      <c r="E15" s="129"/>
      <c r="F15" s="129"/>
      <c r="G15" s="129"/>
      <c r="H15" s="129">
        <v>14000</v>
      </c>
      <c r="I15" s="129"/>
      <c r="J15" s="129"/>
      <c r="K15" s="132"/>
      <c r="L15" s="124">
        <f t="shared" si="0"/>
        <v>14000</v>
      </c>
    </row>
    <row r="16" spans="1:12" ht="25.5">
      <c r="A16" s="209" t="s">
        <v>143</v>
      </c>
      <c r="B16" s="131"/>
      <c r="C16" s="192"/>
      <c r="D16" s="129"/>
      <c r="E16" s="129"/>
      <c r="F16" s="129"/>
      <c r="G16" s="129"/>
      <c r="H16" s="129">
        <v>15000</v>
      </c>
      <c r="I16" s="129"/>
      <c r="J16" s="129"/>
      <c r="K16" s="132"/>
      <c r="L16" s="124">
        <f t="shared" si="0"/>
        <v>15000</v>
      </c>
    </row>
    <row r="17" spans="1:15" ht="25.5">
      <c r="A17" s="209" t="s">
        <v>138</v>
      </c>
      <c r="B17" s="131">
        <v>10000</v>
      </c>
      <c r="C17" s="192">
        <v>145000</v>
      </c>
      <c r="D17" s="129"/>
      <c r="E17" s="129"/>
      <c r="F17" s="129"/>
      <c r="G17" s="129"/>
      <c r="H17" s="129"/>
      <c r="I17" s="129"/>
      <c r="J17" s="129"/>
      <c r="K17" s="132"/>
      <c r="L17" s="124">
        <f>SUM(B17:K17)</f>
        <v>155000</v>
      </c>
    </row>
    <row r="18" spans="1:15" ht="25.5">
      <c r="A18" s="209" t="s">
        <v>166</v>
      </c>
      <c r="B18" s="131">
        <f>2500000-1000000</f>
        <v>1500000</v>
      </c>
      <c r="C18" s="192"/>
      <c r="D18" s="129">
        <v>112499</v>
      </c>
      <c r="E18" s="129"/>
      <c r="F18" s="129"/>
      <c r="G18" s="129"/>
      <c r="H18" s="129"/>
      <c r="I18" s="129"/>
      <c r="J18" s="129"/>
      <c r="K18" s="132"/>
      <c r="L18" s="124">
        <f t="shared" si="0"/>
        <v>1612499</v>
      </c>
    </row>
    <row r="19" spans="1:15" ht="38.25">
      <c r="A19" s="209" t="s">
        <v>176</v>
      </c>
      <c r="B19" s="131"/>
      <c r="C19" s="192"/>
      <c r="D19" s="129">
        <v>445832</v>
      </c>
      <c r="E19" s="129"/>
      <c r="F19" s="129"/>
      <c r="G19" s="129"/>
      <c r="H19" s="129"/>
      <c r="I19" s="129"/>
      <c r="J19" s="129"/>
      <c r="K19" s="132"/>
      <c r="L19" s="124">
        <f t="shared" si="0"/>
        <v>445832</v>
      </c>
    </row>
    <row r="20" spans="1:15">
      <c r="A20" s="209" t="s">
        <v>139</v>
      </c>
      <c r="B20" s="131"/>
      <c r="C20" s="192"/>
      <c r="D20" s="129"/>
      <c r="E20" s="129"/>
      <c r="F20" s="129">
        <f>11837500+568.56+207702</f>
        <v>12045770.560000001</v>
      </c>
      <c r="G20" s="129"/>
      <c r="H20" s="129"/>
      <c r="I20" s="129"/>
      <c r="J20" s="129"/>
      <c r="K20" s="132"/>
      <c r="L20" s="124">
        <f t="shared" si="0"/>
        <v>12045770.560000001</v>
      </c>
    </row>
    <row r="21" spans="1:15">
      <c r="A21" s="209" t="s">
        <v>140</v>
      </c>
      <c r="B21" s="131"/>
      <c r="C21" s="192"/>
      <c r="D21" s="129"/>
      <c r="E21" s="129">
        <f>33000+20000</f>
        <v>53000</v>
      </c>
      <c r="F21" s="129"/>
      <c r="G21" s="129"/>
      <c r="H21" s="129"/>
      <c r="I21" s="129"/>
      <c r="J21" s="129"/>
      <c r="K21" s="132"/>
      <c r="L21" s="124">
        <f t="shared" si="0"/>
        <v>53000</v>
      </c>
    </row>
    <row r="22" spans="1:15" ht="25.5">
      <c r="A22" s="210" t="s">
        <v>202</v>
      </c>
      <c r="B22" s="131"/>
      <c r="C22" s="192"/>
      <c r="D22" s="129"/>
      <c r="E22" s="129"/>
      <c r="F22" s="129"/>
      <c r="G22" s="129"/>
      <c r="H22" s="129"/>
      <c r="I22" s="129">
        <v>100</v>
      </c>
      <c r="J22" s="129"/>
      <c r="K22" s="132"/>
      <c r="L22" s="124">
        <f t="shared" si="0"/>
        <v>100</v>
      </c>
    </row>
    <row r="23" spans="1:15" ht="25.5">
      <c r="A23" s="210" t="s">
        <v>203</v>
      </c>
      <c r="B23" s="131"/>
      <c r="C23" s="192"/>
      <c r="D23" s="129"/>
      <c r="E23" s="129"/>
      <c r="F23" s="129"/>
      <c r="G23" s="129"/>
      <c r="H23" s="129"/>
      <c r="I23" s="129">
        <v>20000</v>
      </c>
      <c r="J23" s="129"/>
      <c r="K23" s="132"/>
      <c r="L23" s="124">
        <f t="shared" si="0"/>
        <v>20000</v>
      </c>
    </row>
    <row r="24" spans="1:15" ht="25.5">
      <c r="A24" s="122" t="s">
        <v>179</v>
      </c>
      <c r="B24" s="131"/>
      <c r="C24" s="192"/>
      <c r="D24" s="129"/>
      <c r="E24" s="129"/>
      <c r="F24" s="129"/>
      <c r="G24" s="129"/>
      <c r="H24" s="129"/>
      <c r="I24" s="129"/>
      <c r="J24" s="129">
        <v>1000000</v>
      </c>
      <c r="K24" s="132"/>
      <c r="L24" s="124">
        <f t="shared" si="0"/>
        <v>1000000</v>
      </c>
    </row>
    <row r="25" spans="1:15" ht="13.5" thickBot="1">
      <c r="A25" s="123" t="s">
        <v>141</v>
      </c>
      <c r="B25" s="133"/>
      <c r="C25" s="193"/>
      <c r="D25" s="134"/>
      <c r="E25" s="134"/>
      <c r="F25" s="134"/>
      <c r="G25" s="134"/>
      <c r="H25" s="134"/>
      <c r="I25" s="134"/>
      <c r="J25" s="134"/>
      <c r="K25" s="135"/>
      <c r="L25" s="124">
        <f t="shared" si="0"/>
        <v>0</v>
      </c>
    </row>
    <row r="26" spans="1:15" ht="26.25" thickBot="1">
      <c r="A26" s="9" t="s">
        <v>142</v>
      </c>
      <c r="B26" s="128">
        <f>SUM(B6:B25)</f>
        <v>1510000</v>
      </c>
      <c r="C26" s="128">
        <f t="shared" ref="C26:K26" si="1">SUM(C6:C25)</f>
        <v>145000</v>
      </c>
      <c r="D26" s="128">
        <f t="shared" si="1"/>
        <v>558331</v>
      </c>
      <c r="E26" s="128">
        <f t="shared" si="1"/>
        <v>2505000</v>
      </c>
      <c r="F26" s="128">
        <f t="shared" si="1"/>
        <v>14455270.560000001</v>
      </c>
      <c r="G26" s="128">
        <f t="shared" si="1"/>
        <v>40000</v>
      </c>
      <c r="H26" s="128">
        <f t="shared" si="1"/>
        <v>30000</v>
      </c>
      <c r="I26" s="128">
        <f t="shared" si="1"/>
        <v>60100</v>
      </c>
      <c r="J26" s="128">
        <f t="shared" si="1"/>
        <v>1000000</v>
      </c>
      <c r="K26" s="128">
        <f t="shared" si="1"/>
        <v>0</v>
      </c>
      <c r="L26" s="59">
        <f>SUM(L6:L25)</f>
        <v>20303701.560000002</v>
      </c>
      <c r="N26" s="141">
        <f>B26+D26+C26</f>
        <v>2213331</v>
      </c>
      <c r="O26" s="141">
        <f>E26+F26+G26+H26+I26+J26</f>
        <v>18090370.560000002</v>
      </c>
    </row>
    <row r="27" spans="1:15" ht="26.25" thickBot="1">
      <c r="A27" s="10" t="s">
        <v>180</v>
      </c>
      <c r="B27" s="218">
        <f>SUM(B26:K26)</f>
        <v>20303701.560000002</v>
      </c>
      <c r="C27" s="219"/>
      <c r="D27" s="219"/>
      <c r="E27" s="219"/>
      <c r="F27" s="219"/>
      <c r="G27" s="219"/>
      <c r="H27" s="219"/>
      <c r="I27" s="219"/>
      <c r="J27" s="219"/>
      <c r="K27" s="220"/>
      <c r="L27" s="61"/>
      <c r="N27" s="142" t="s">
        <v>188</v>
      </c>
      <c r="O27" s="142" t="s">
        <v>189</v>
      </c>
    </row>
    <row r="28" spans="1:15" ht="13.5" thickBot="1">
      <c r="A28" s="11"/>
      <c r="B28" s="53"/>
      <c r="C28" s="53"/>
      <c r="D28" s="53"/>
      <c r="E28" s="53"/>
      <c r="F28" s="54"/>
      <c r="G28" s="54"/>
      <c r="H28" s="54"/>
      <c r="I28" s="12"/>
      <c r="J28" s="12"/>
      <c r="K28" s="12"/>
      <c r="L28" s="54"/>
      <c r="N28" s="201"/>
      <c r="O28" s="202"/>
    </row>
    <row r="29" spans="1:15">
      <c r="A29" s="139" t="s">
        <v>205</v>
      </c>
      <c r="B29" s="58"/>
      <c r="C29" s="58"/>
      <c r="D29" s="58"/>
      <c r="E29" s="5"/>
      <c r="F29" s="97" t="s">
        <v>184</v>
      </c>
      <c r="G29" s="16"/>
      <c r="H29" s="50">
        <f>L26</f>
        <v>20303701.560000002</v>
      </c>
      <c r="N29" s="228">
        <f>N26+O26</f>
        <v>20303701.560000002</v>
      </c>
      <c r="O29" s="229"/>
    </row>
    <row r="30" spans="1:15">
      <c r="A30" s="214" t="s">
        <v>217</v>
      </c>
      <c r="B30" s="213"/>
      <c r="C30" s="213"/>
      <c r="D30" s="205"/>
      <c r="E30" s="5"/>
      <c r="F30" s="17" t="s">
        <v>185</v>
      </c>
      <c r="G30" s="15"/>
      <c r="H30" s="51">
        <f>'RASHODI 25-26-27'!F86</f>
        <v>20328701.560000002</v>
      </c>
    </row>
    <row r="31" spans="1:15" ht="13.5" thickBot="1">
      <c r="A31" s="204" t="s">
        <v>213</v>
      </c>
      <c r="B31" s="205"/>
      <c r="C31" s="200"/>
      <c r="D31" s="58"/>
      <c r="E31" s="5"/>
      <c r="F31" s="18" t="s">
        <v>165</v>
      </c>
      <c r="G31" s="19"/>
      <c r="H31" s="52">
        <f>H29-H30</f>
        <v>-25000</v>
      </c>
    </row>
    <row r="32" spans="1:15">
      <c r="A32" s="13" t="s">
        <v>212</v>
      </c>
      <c r="E32" s="5"/>
      <c r="F32" s="117"/>
      <c r="G32" s="117"/>
      <c r="H32" s="118"/>
    </row>
    <row r="33" spans="1:12">
      <c r="A33" s="204" t="s">
        <v>214</v>
      </c>
      <c r="B33" s="205"/>
      <c r="C33" s="205"/>
      <c r="D33" s="205"/>
      <c r="E33" s="5"/>
      <c r="F33" s="117"/>
      <c r="G33" s="117"/>
      <c r="H33" s="118"/>
    </row>
    <row r="34" spans="1:12">
      <c r="A34" s="204" t="s">
        <v>215</v>
      </c>
      <c r="B34" s="200"/>
      <c r="C34" s="200"/>
      <c r="D34" s="58"/>
      <c r="E34" s="5"/>
      <c r="F34" s="117"/>
      <c r="G34" s="117"/>
      <c r="H34" s="118"/>
    </row>
    <row r="35" spans="1:12">
      <c r="A35" s="117"/>
      <c r="B35" s="58"/>
      <c r="C35" s="58"/>
      <c r="D35" s="58"/>
      <c r="E35" s="5"/>
      <c r="F35" s="117"/>
      <c r="G35" s="117"/>
      <c r="H35" s="118"/>
    </row>
    <row r="36" spans="1:12">
      <c r="B36" s="58"/>
      <c r="C36" s="58"/>
      <c r="D36" s="58"/>
      <c r="E36" s="5"/>
      <c r="F36" s="117"/>
      <c r="G36" s="117"/>
      <c r="H36" s="118"/>
    </row>
    <row r="37" spans="1:12">
      <c r="B37" s="58"/>
      <c r="C37" s="58"/>
      <c r="D37" s="58"/>
      <c r="E37" s="5"/>
      <c r="F37" s="117"/>
      <c r="G37" s="117"/>
      <c r="H37" s="118"/>
    </row>
    <row r="38" spans="1:12">
      <c r="B38" s="58"/>
      <c r="C38" s="58"/>
      <c r="D38" s="58"/>
      <c r="E38" s="5"/>
      <c r="F38" s="117"/>
      <c r="G38" s="117"/>
      <c r="H38" s="118"/>
    </row>
    <row r="39" spans="1:12">
      <c r="B39" s="58"/>
      <c r="C39" s="58"/>
      <c r="D39" s="58"/>
      <c r="E39" s="5"/>
      <c r="F39" s="117"/>
      <c r="G39" s="117"/>
      <c r="H39" s="118"/>
    </row>
    <row r="40" spans="1:12">
      <c r="B40" s="58"/>
      <c r="C40" s="58"/>
      <c r="D40" s="58"/>
      <c r="E40" s="5"/>
      <c r="F40" s="117"/>
      <c r="G40" s="117"/>
      <c r="H40" s="118"/>
    </row>
    <row r="41" spans="1:12">
      <c r="B41" s="58"/>
      <c r="C41" s="58"/>
      <c r="D41" s="58"/>
      <c r="E41" s="5"/>
      <c r="F41" s="117"/>
      <c r="G41" s="117"/>
      <c r="H41" s="118"/>
    </row>
    <row r="42" spans="1:12">
      <c r="B42" s="58"/>
      <c r="C42" s="58"/>
      <c r="D42" s="58"/>
      <c r="E42" s="5"/>
      <c r="F42" s="117"/>
      <c r="G42" s="117"/>
      <c r="H42" s="118"/>
    </row>
    <row r="43" spans="1:12">
      <c r="B43" s="58"/>
      <c r="C43" s="58"/>
      <c r="D43" s="58"/>
      <c r="E43" s="5"/>
      <c r="F43" s="117"/>
      <c r="G43" s="117"/>
      <c r="H43" s="118"/>
    </row>
    <row r="45" spans="1:12" ht="16.5" thickBot="1">
      <c r="A45" s="13" t="s">
        <v>152</v>
      </c>
      <c r="B45" s="4"/>
      <c r="C45" s="4"/>
      <c r="D45" s="4"/>
      <c r="E45" s="20"/>
      <c r="F45" s="20"/>
      <c r="G45" s="2"/>
      <c r="H45" s="2"/>
      <c r="I45" s="2"/>
      <c r="J45" s="2"/>
      <c r="K45" s="3"/>
      <c r="L45" s="3"/>
    </row>
    <row r="46" spans="1:12" ht="16.5" thickBot="1">
      <c r="A46" s="221" t="s">
        <v>182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3"/>
    </row>
    <row r="47" spans="1:12" ht="13.5" thickBot="1">
      <c r="A47" s="6"/>
      <c r="B47" s="6"/>
      <c r="C47" s="6"/>
      <c r="D47" s="6"/>
      <c r="E47" s="6"/>
      <c r="F47" s="7"/>
      <c r="G47" s="7"/>
      <c r="H47" s="7"/>
      <c r="I47" s="7"/>
      <c r="J47" s="7"/>
      <c r="K47" s="7"/>
      <c r="L47" s="8" t="s">
        <v>178</v>
      </c>
    </row>
    <row r="48" spans="1:12" ht="26.25" thickBot="1">
      <c r="A48" s="55" t="s">
        <v>129</v>
      </c>
      <c r="B48" s="224" t="s">
        <v>183</v>
      </c>
      <c r="C48" s="225"/>
      <c r="D48" s="225"/>
      <c r="E48" s="226"/>
      <c r="F48" s="226"/>
      <c r="G48" s="226"/>
      <c r="H48" s="226"/>
      <c r="I48" s="226"/>
      <c r="J48" s="226"/>
      <c r="K48" s="226"/>
      <c r="L48" s="227"/>
    </row>
    <row r="49" spans="1:12" ht="128.25" thickBot="1">
      <c r="A49" s="56" t="s">
        <v>130</v>
      </c>
      <c r="B49" s="195" t="s">
        <v>144</v>
      </c>
      <c r="C49" s="194"/>
      <c r="D49" s="196" t="s">
        <v>145</v>
      </c>
      <c r="E49" s="125" t="s">
        <v>146</v>
      </c>
      <c r="F49" s="126" t="s">
        <v>147</v>
      </c>
      <c r="G49" s="126" t="s">
        <v>148</v>
      </c>
      <c r="H49" s="126" t="s">
        <v>149</v>
      </c>
      <c r="I49" s="126" t="s">
        <v>150</v>
      </c>
      <c r="J49" s="127" t="s">
        <v>175</v>
      </c>
      <c r="K49" s="127" t="s">
        <v>151</v>
      </c>
      <c r="L49" s="57" t="s">
        <v>0</v>
      </c>
    </row>
    <row r="50" spans="1:12" ht="25.5">
      <c r="A50" s="120" t="s">
        <v>131</v>
      </c>
      <c r="B50" s="198"/>
      <c r="C50" s="197"/>
      <c r="D50" s="199"/>
      <c r="E50" s="60"/>
      <c r="F50" s="60"/>
      <c r="G50" s="60">
        <v>50000</v>
      </c>
      <c r="H50" s="60"/>
      <c r="I50" s="60"/>
      <c r="J50" s="60"/>
      <c r="K50" s="130"/>
      <c r="L50" s="124">
        <f>SUM(B50:K50)</f>
        <v>50000</v>
      </c>
    </row>
    <row r="51" spans="1:12">
      <c r="A51" s="121" t="s">
        <v>132</v>
      </c>
      <c r="B51" s="131"/>
      <c r="C51" s="192"/>
      <c r="D51" s="129"/>
      <c r="E51" s="129">
        <v>600</v>
      </c>
      <c r="F51" s="129"/>
      <c r="G51" s="129"/>
      <c r="H51" s="129"/>
      <c r="I51" s="129"/>
      <c r="J51" s="129"/>
      <c r="K51" s="132"/>
      <c r="L51" s="124">
        <f t="shared" ref="L51:L68" si="2">SUM(B51:K51)</f>
        <v>600</v>
      </c>
    </row>
    <row r="52" spans="1:12" ht="25.5">
      <c r="A52" s="121" t="s">
        <v>173</v>
      </c>
      <c r="B52" s="131"/>
      <c r="C52" s="192"/>
      <c r="D52" s="129"/>
      <c r="E52" s="129">
        <v>300</v>
      </c>
      <c r="F52" s="129"/>
      <c r="G52" s="129"/>
      <c r="H52" s="129"/>
      <c r="I52" s="129"/>
      <c r="J52" s="129"/>
      <c r="K52" s="132"/>
      <c r="L52" s="124">
        <f t="shared" si="2"/>
        <v>300</v>
      </c>
    </row>
    <row r="53" spans="1:12" ht="25.5">
      <c r="A53" s="121" t="s">
        <v>133</v>
      </c>
      <c r="B53" s="131"/>
      <c r="C53" s="192"/>
      <c r="D53" s="129"/>
      <c r="E53" s="129">
        <v>100</v>
      </c>
      <c r="F53" s="129"/>
      <c r="G53" s="129"/>
      <c r="H53" s="129"/>
      <c r="I53" s="129"/>
      <c r="J53" s="129"/>
      <c r="K53" s="132"/>
      <c r="L53" s="124">
        <f t="shared" si="2"/>
        <v>100</v>
      </c>
    </row>
    <row r="54" spans="1:12">
      <c r="A54" s="121" t="s">
        <v>134</v>
      </c>
      <c r="B54" s="131"/>
      <c r="C54" s="192"/>
      <c r="D54" s="129"/>
      <c r="E54" s="129"/>
      <c r="F54" s="129">
        <v>2600000</v>
      </c>
      <c r="G54" s="129"/>
      <c r="H54" s="129"/>
      <c r="I54" s="129"/>
      <c r="J54" s="129"/>
      <c r="K54" s="132"/>
      <c r="L54" s="124">
        <f t="shared" si="2"/>
        <v>2600000</v>
      </c>
    </row>
    <row r="55" spans="1:12" ht="38.25">
      <c r="A55" s="209" t="s">
        <v>204</v>
      </c>
      <c r="B55" s="131"/>
      <c r="C55" s="192"/>
      <c r="D55" s="129"/>
      <c r="E55" s="129"/>
      <c r="F55" s="129">
        <v>100</v>
      </c>
      <c r="G55" s="129"/>
      <c r="H55" s="129"/>
      <c r="I55" s="129"/>
      <c r="J55" s="129"/>
      <c r="K55" s="132"/>
      <c r="L55" s="124">
        <f t="shared" si="2"/>
        <v>100</v>
      </c>
    </row>
    <row r="56" spans="1:12">
      <c r="A56" s="209" t="s">
        <v>135</v>
      </c>
      <c r="B56" s="131"/>
      <c r="C56" s="192"/>
      <c r="D56" s="129"/>
      <c r="E56" s="129"/>
      <c r="F56" s="129"/>
      <c r="G56" s="129"/>
      <c r="H56" s="129"/>
      <c r="I56" s="129">
        <v>65000</v>
      </c>
      <c r="J56" s="129"/>
      <c r="K56" s="132"/>
      <c r="L56" s="124">
        <f t="shared" si="2"/>
        <v>65000</v>
      </c>
    </row>
    <row r="57" spans="1:12">
      <c r="A57" s="209" t="s">
        <v>136</v>
      </c>
      <c r="B57" s="131"/>
      <c r="C57" s="192"/>
      <c r="D57" s="129"/>
      <c r="E57" s="129">
        <v>2523500</v>
      </c>
      <c r="F57" s="129"/>
      <c r="G57" s="129"/>
      <c r="H57" s="129"/>
      <c r="I57" s="129"/>
      <c r="J57" s="129"/>
      <c r="K57" s="132"/>
      <c r="L57" s="124">
        <f t="shared" si="2"/>
        <v>2523500</v>
      </c>
    </row>
    <row r="58" spans="1:12" ht="25.5">
      <c r="A58" s="209" t="s">
        <v>174</v>
      </c>
      <c r="B58" s="131"/>
      <c r="C58" s="192"/>
      <c r="D58" s="129"/>
      <c r="E58" s="129"/>
      <c r="F58" s="129"/>
      <c r="G58" s="129"/>
      <c r="H58" s="129">
        <v>1000</v>
      </c>
      <c r="I58" s="129"/>
      <c r="J58" s="129"/>
      <c r="K58" s="132"/>
      <c r="L58" s="124">
        <f t="shared" si="2"/>
        <v>1000</v>
      </c>
    </row>
    <row r="59" spans="1:12">
      <c r="A59" s="209" t="s">
        <v>137</v>
      </c>
      <c r="B59" s="131"/>
      <c r="C59" s="192"/>
      <c r="D59" s="129"/>
      <c r="E59" s="129"/>
      <c r="F59" s="129"/>
      <c r="G59" s="129"/>
      <c r="H59" s="129">
        <v>14000</v>
      </c>
      <c r="I59" s="129"/>
      <c r="J59" s="129"/>
      <c r="K59" s="132"/>
      <c r="L59" s="124">
        <f t="shared" si="2"/>
        <v>14000</v>
      </c>
    </row>
    <row r="60" spans="1:12" ht="25.5">
      <c r="A60" s="209" t="s">
        <v>143</v>
      </c>
      <c r="B60" s="131"/>
      <c r="C60" s="192"/>
      <c r="D60" s="129"/>
      <c r="E60" s="129"/>
      <c r="F60" s="129"/>
      <c r="G60" s="129"/>
      <c r="H60" s="129">
        <v>15000</v>
      </c>
      <c r="I60" s="129"/>
      <c r="J60" s="129"/>
      <c r="K60" s="132"/>
      <c r="L60" s="124">
        <f t="shared" si="2"/>
        <v>15000</v>
      </c>
    </row>
    <row r="61" spans="1:12" ht="25.5">
      <c r="A61" s="209" t="s">
        <v>138</v>
      </c>
      <c r="B61" s="131">
        <v>100000</v>
      </c>
      <c r="C61" s="192"/>
      <c r="D61" s="129">
        <v>89000</v>
      </c>
      <c r="E61" s="129"/>
      <c r="F61" s="129"/>
      <c r="G61" s="129"/>
      <c r="H61" s="129"/>
      <c r="I61" s="129"/>
      <c r="J61" s="129"/>
      <c r="K61" s="132"/>
      <c r="L61" s="124">
        <f t="shared" si="2"/>
        <v>189000</v>
      </c>
    </row>
    <row r="62" spans="1:12" ht="25.5">
      <c r="A62" s="209" t="s">
        <v>166</v>
      </c>
      <c r="B62" s="131">
        <v>2250000</v>
      </c>
      <c r="C62" s="192"/>
      <c r="D62" s="129"/>
      <c r="E62" s="129"/>
      <c r="F62" s="129"/>
      <c r="G62" s="129"/>
      <c r="H62" s="129"/>
      <c r="I62" s="129"/>
      <c r="J62" s="129"/>
      <c r="K62" s="132"/>
      <c r="L62" s="124">
        <f t="shared" si="2"/>
        <v>2250000</v>
      </c>
    </row>
    <row r="63" spans="1:12" ht="38.25">
      <c r="A63" s="209" t="s">
        <v>176</v>
      </c>
      <c r="B63" s="131"/>
      <c r="C63" s="192"/>
      <c r="D63" s="129">
        <f>411000</f>
        <v>411000</v>
      </c>
      <c r="E63" s="129"/>
      <c r="F63" s="129"/>
      <c r="G63" s="129"/>
      <c r="H63" s="129"/>
      <c r="I63" s="129"/>
      <c r="J63" s="129"/>
      <c r="K63" s="132"/>
      <c r="L63" s="124">
        <f t="shared" si="2"/>
        <v>411000</v>
      </c>
    </row>
    <row r="64" spans="1:12">
      <c r="A64" s="209" t="s">
        <v>139</v>
      </c>
      <c r="B64" s="131"/>
      <c r="C64" s="192"/>
      <c r="D64" s="129"/>
      <c r="E64" s="129"/>
      <c r="F64" s="129">
        <v>13000000</v>
      </c>
      <c r="G64" s="129"/>
      <c r="H64" s="129"/>
      <c r="I64" s="129"/>
      <c r="J64" s="129"/>
      <c r="K64" s="132"/>
      <c r="L64" s="124">
        <f t="shared" si="2"/>
        <v>13000000</v>
      </c>
    </row>
    <row r="65" spans="1:15">
      <c r="A65" s="209" t="s">
        <v>140</v>
      </c>
      <c r="B65" s="131"/>
      <c r="C65" s="192"/>
      <c r="D65" s="129"/>
      <c r="E65" s="129">
        <v>36000</v>
      </c>
      <c r="F65" s="129"/>
      <c r="G65" s="129"/>
      <c r="H65" s="129"/>
      <c r="I65" s="129"/>
      <c r="J65" s="129"/>
      <c r="K65" s="132"/>
      <c r="L65" s="124">
        <f t="shared" si="2"/>
        <v>36000</v>
      </c>
    </row>
    <row r="66" spans="1:15" ht="25.5">
      <c r="A66" s="210" t="s">
        <v>202</v>
      </c>
      <c r="B66" s="131"/>
      <c r="C66" s="192"/>
      <c r="D66" s="129"/>
      <c r="E66" s="129"/>
      <c r="F66" s="129"/>
      <c r="G66" s="129"/>
      <c r="H66" s="129"/>
      <c r="I66" s="129">
        <v>100</v>
      </c>
      <c r="J66" s="129"/>
      <c r="K66" s="132"/>
      <c r="L66" s="124">
        <f t="shared" si="2"/>
        <v>100</v>
      </c>
    </row>
    <row r="67" spans="1:15" ht="25.5">
      <c r="A67" s="122" t="s">
        <v>179</v>
      </c>
      <c r="B67" s="131"/>
      <c r="C67" s="192"/>
      <c r="D67" s="129"/>
      <c r="E67" s="129"/>
      <c r="F67" s="129"/>
      <c r="G67" s="129"/>
      <c r="H67" s="129"/>
      <c r="I67" s="129"/>
      <c r="J67" s="129"/>
      <c r="K67" s="132"/>
      <c r="L67" s="124">
        <f t="shared" si="2"/>
        <v>0</v>
      </c>
    </row>
    <row r="68" spans="1:15" ht="13.5" thickBot="1">
      <c r="A68" s="123" t="s">
        <v>141</v>
      </c>
      <c r="B68" s="133"/>
      <c r="C68" s="193"/>
      <c r="D68" s="134"/>
      <c r="E68" s="134"/>
      <c r="F68" s="134"/>
      <c r="G68" s="134"/>
      <c r="H68" s="134"/>
      <c r="I68" s="134"/>
      <c r="J68" s="134"/>
      <c r="K68" s="135"/>
      <c r="L68" s="124">
        <f t="shared" si="2"/>
        <v>0</v>
      </c>
    </row>
    <row r="69" spans="1:15" ht="26.25" thickBot="1">
      <c r="A69" s="9" t="s">
        <v>142</v>
      </c>
      <c r="B69" s="128">
        <f>SUM(B50:B68)</f>
        <v>2350000</v>
      </c>
      <c r="C69" s="128">
        <f t="shared" ref="C69:K69" si="3">SUM(C50:C68)</f>
        <v>0</v>
      </c>
      <c r="D69" s="128">
        <f t="shared" si="3"/>
        <v>500000</v>
      </c>
      <c r="E69" s="128">
        <f t="shared" si="3"/>
        <v>2560500</v>
      </c>
      <c r="F69" s="128">
        <f t="shared" si="3"/>
        <v>15600100</v>
      </c>
      <c r="G69" s="128">
        <f t="shared" si="3"/>
        <v>50000</v>
      </c>
      <c r="H69" s="128">
        <f t="shared" si="3"/>
        <v>30000</v>
      </c>
      <c r="I69" s="128">
        <f t="shared" si="3"/>
        <v>65100</v>
      </c>
      <c r="J69" s="128">
        <f t="shared" si="3"/>
        <v>0</v>
      </c>
      <c r="K69" s="128">
        <f t="shared" si="3"/>
        <v>0</v>
      </c>
      <c r="L69" s="59">
        <f>SUM(L50:L68)</f>
        <v>21155700</v>
      </c>
      <c r="N69" s="141">
        <f>B69+D69+C69</f>
        <v>2850000</v>
      </c>
      <c r="O69" s="141">
        <f>E69+F69+G69+H69+I69</f>
        <v>18305700</v>
      </c>
    </row>
    <row r="70" spans="1:15" ht="26.25" thickBot="1">
      <c r="A70" s="10" t="s">
        <v>180</v>
      </c>
      <c r="B70" s="218">
        <f>SUM(B69:K69)</f>
        <v>21155700</v>
      </c>
      <c r="C70" s="219"/>
      <c r="D70" s="219"/>
      <c r="E70" s="219"/>
      <c r="F70" s="219"/>
      <c r="G70" s="219"/>
      <c r="H70" s="219"/>
      <c r="I70" s="219"/>
      <c r="J70" s="219"/>
      <c r="K70" s="220"/>
      <c r="L70" s="61"/>
      <c r="N70" s="142" t="s">
        <v>188</v>
      </c>
      <c r="O70" s="142" t="s">
        <v>189</v>
      </c>
    </row>
    <row r="71" spans="1:15" ht="13.5" thickBot="1">
      <c r="A71" s="11"/>
      <c r="B71" s="53"/>
      <c r="C71" s="53"/>
      <c r="D71" s="53"/>
      <c r="E71" s="53"/>
      <c r="F71" s="54"/>
      <c r="G71" s="54"/>
      <c r="H71" s="54"/>
      <c r="I71" s="12"/>
      <c r="J71" s="12"/>
      <c r="K71" s="12"/>
      <c r="L71" s="54"/>
      <c r="N71" s="203"/>
      <c r="O71" s="202"/>
    </row>
    <row r="72" spans="1:15">
      <c r="A72" s="140" t="s">
        <v>209</v>
      </c>
      <c r="B72" s="58"/>
      <c r="C72" s="58"/>
      <c r="D72" s="58"/>
      <c r="E72" s="5"/>
      <c r="F72" s="97" t="s">
        <v>186</v>
      </c>
      <c r="G72" s="16"/>
      <c r="H72" s="50">
        <f>L69</f>
        <v>21155700</v>
      </c>
      <c r="N72" s="228">
        <f>N69+O69</f>
        <v>21155700</v>
      </c>
      <c r="O72" s="229"/>
    </row>
    <row r="73" spans="1:15">
      <c r="A73" s="13" t="s">
        <v>210</v>
      </c>
      <c r="B73" s="58"/>
      <c r="C73" s="58"/>
      <c r="D73" s="58"/>
      <c r="E73" s="5"/>
      <c r="F73" s="17" t="s">
        <v>187</v>
      </c>
      <c r="G73" s="15"/>
      <c r="H73" s="51">
        <f>'RASHODI 25-26-27'!G86</f>
        <v>21155700</v>
      </c>
    </row>
    <row r="74" spans="1:15" ht="13.5" thickBot="1">
      <c r="A74" s="204" t="s">
        <v>216</v>
      </c>
      <c r="B74" s="58"/>
      <c r="C74" s="58"/>
      <c r="D74" s="58"/>
      <c r="E74" s="5"/>
      <c r="F74" s="18" t="s">
        <v>165</v>
      </c>
      <c r="G74" s="19"/>
      <c r="H74" s="52">
        <f>H72-H73</f>
        <v>0</v>
      </c>
    </row>
    <row r="75" spans="1:15">
      <c r="A75" s="13" t="s">
        <v>207</v>
      </c>
      <c r="B75" s="58"/>
      <c r="C75" s="58"/>
      <c r="D75" s="58"/>
      <c r="E75" s="5"/>
      <c r="F75" s="117"/>
      <c r="G75" s="117"/>
      <c r="H75" s="118"/>
    </row>
    <row r="76" spans="1:15">
      <c r="A76" s="117"/>
      <c r="B76" s="58"/>
      <c r="C76" s="58"/>
      <c r="D76" s="58"/>
      <c r="E76" s="5"/>
      <c r="F76" s="117"/>
      <c r="G76" s="117"/>
      <c r="H76" s="118"/>
    </row>
    <row r="77" spans="1:15">
      <c r="B77" s="58"/>
      <c r="C77" s="58"/>
      <c r="D77" s="58"/>
      <c r="E77" s="5"/>
      <c r="F77" s="117"/>
      <c r="G77" s="117"/>
      <c r="H77" s="118"/>
    </row>
    <row r="78" spans="1:15">
      <c r="B78" s="58"/>
      <c r="C78" s="58"/>
      <c r="D78" s="58"/>
      <c r="E78" s="5"/>
      <c r="F78" s="117"/>
      <c r="G78" s="117"/>
      <c r="H78" s="118"/>
    </row>
    <row r="79" spans="1:15">
      <c r="B79" s="58"/>
      <c r="C79" s="58"/>
      <c r="D79" s="58"/>
      <c r="E79" s="5"/>
      <c r="F79" s="117"/>
      <c r="G79" s="117"/>
      <c r="H79" s="118"/>
    </row>
    <row r="80" spans="1:15">
      <c r="B80" s="58"/>
      <c r="C80" s="58"/>
      <c r="D80" s="58"/>
      <c r="E80" s="5"/>
      <c r="F80" s="117"/>
      <c r="G80" s="117"/>
      <c r="H80" s="118"/>
    </row>
    <row r="81" spans="1:12">
      <c r="B81" s="58"/>
      <c r="C81" s="58"/>
      <c r="D81" s="58"/>
      <c r="E81" s="5"/>
      <c r="F81" s="117"/>
      <c r="G81" s="117"/>
      <c r="H81" s="118"/>
    </row>
    <row r="82" spans="1:12">
      <c r="B82" s="58"/>
      <c r="C82" s="58"/>
      <c r="D82" s="58"/>
      <c r="E82" s="5"/>
      <c r="F82" s="117"/>
      <c r="G82" s="117"/>
      <c r="H82" s="118"/>
    </row>
    <row r="83" spans="1:12">
      <c r="B83" s="58"/>
      <c r="C83" s="58"/>
      <c r="D83" s="58"/>
      <c r="E83" s="5"/>
      <c r="F83" s="117"/>
      <c r="G83" s="117"/>
      <c r="H83" s="118"/>
    </row>
    <row r="84" spans="1:12">
      <c r="B84" s="58"/>
      <c r="C84" s="58"/>
      <c r="D84" s="58"/>
      <c r="E84" s="5"/>
      <c r="F84" s="117"/>
      <c r="G84" s="117"/>
      <c r="H84" s="118"/>
    </row>
    <row r="85" spans="1:12">
      <c r="B85" s="58"/>
      <c r="C85" s="58"/>
      <c r="D85" s="58"/>
      <c r="E85" s="5"/>
      <c r="F85" s="117"/>
      <c r="G85" s="117"/>
      <c r="H85" s="118"/>
    </row>
    <row r="86" spans="1:12">
      <c r="B86" s="58"/>
      <c r="C86" s="58"/>
      <c r="D86" s="58"/>
      <c r="E86" s="5"/>
      <c r="F86" s="117"/>
      <c r="G86" s="117"/>
      <c r="H86" s="118"/>
    </row>
    <row r="87" spans="1:12">
      <c r="B87" s="58"/>
      <c r="C87" s="58"/>
      <c r="D87" s="58"/>
      <c r="E87" s="5"/>
      <c r="F87" s="117"/>
      <c r="G87" s="117"/>
      <c r="H87" s="118"/>
    </row>
    <row r="88" spans="1:12">
      <c r="B88" s="58"/>
      <c r="C88" s="58"/>
      <c r="D88" s="58"/>
      <c r="E88" s="5"/>
      <c r="F88" s="117"/>
      <c r="G88" s="117"/>
      <c r="H88" s="118"/>
    </row>
    <row r="90" spans="1:12" ht="16.5" thickBot="1">
      <c r="A90" s="13" t="s">
        <v>152</v>
      </c>
      <c r="B90" s="4"/>
      <c r="C90" s="4"/>
      <c r="D90" s="4"/>
      <c r="E90" s="20"/>
      <c r="F90" s="20"/>
      <c r="G90" s="2"/>
      <c r="H90" s="2"/>
      <c r="I90" s="2"/>
      <c r="J90" s="2"/>
      <c r="K90" s="3"/>
      <c r="L90" s="3"/>
    </row>
    <row r="91" spans="1:12" ht="16.5" thickBot="1">
      <c r="A91" s="230" t="s">
        <v>196</v>
      </c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2"/>
    </row>
    <row r="92" spans="1:12" ht="13.5" thickBot="1">
      <c r="A92" s="6"/>
      <c r="B92" s="6"/>
      <c r="C92" s="6"/>
      <c r="D92" s="6"/>
      <c r="E92" s="6"/>
      <c r="F92" s="7"/>
      <c r="G92" s="7"/>
      <c r="H92" s="7"/>
      <c r="I92" s="7"/>
      <c r="J92" s="7"/>
      <c r="K92" s="7"/>
      <c r="L92" s="8" t="s">
        <v>178</v>
      </c>
    </row>
    <row r="93" spans="1:12" ht="26.25" thickBot="1">
      <c r="A93" s="55" t="s">
        <v>129</v>
      </c>
      <c r="B93" s="224" t="s">
        <v>197</v>
      </c>
      <c r="C93" s="225"/>
      <c r="D93" s="225"/>
      <c r="E93" s="226"/>
      <c r="F93" s="226"/>
      <c r="G93" s="226"/>
      <c r="H93" s="226"/>
      <c r="I93" s="226"/>
      <c r="J93" s="226"/>
      <c r="K93" s="226"/>
      <c r="L93" s="227"/>
    </row>
    <row r="94" spans="1:12" ht="128.25" thickBot="1">
      <c r="A94" s="56" t="s">
        <v>130</v>
      </c>
      <c r="B94" s="195" t="s">
        <v>144</v>
      </c>
      <c r="C94" s="194"/>
      <c r="D94" s="196" t="s">
        <v>145</v>
      </c>
      <c r="E94" s="125" t="s">
        <v>146</v>
      </c>
      <c r="F94" s="126" t="s">
        <v>147</v>
      </c>
      <c r="G94" s="126" t="s">
        <v>148</v>
      </c>
      <c r="H94" s="126" t="s">
        <v>149</v>
      </c>
      <c r="I94" s="126" t="s">
        <v>150</v>
      </c>
      <c r="J94" s="127" t="s">
        <v>175</v>
      </c>
      <c r="K94" s="127" t="s">
        <v>151</v>
      </c>
      <c r="L94" s="57" t="s">
        <v>0</v>
      </c>
    </row>
    <row r="95" spans="1:12" ht="25.5">
      <c r="A95" s="120" t="s">
        <v>131</v>
      </c>
      <c r="B95" s="198"/>
      <c r="C95" s="197"/>
      <c r="D95" s="199"/>
      <c r="E95" s="60"/>
      <c r="F95" s="60"/>
      <c r="G95" s="60">
        <v>60000</v>
      </c>
      <c r="H95" s="60"/>
      <c r="I95" s="60"/>
      <c r="J95" s="60"/>
      <c r="K95" s="130"/>
      <c r="L95" s="124">
        <f>SUM(B95:K95)</f>
        <v>60000</v>
      </c>
    </row>
    <row r="96" spans="1:12">
      <c r="A96" s="121" t="s">
        <v>132</v>
      </c>
      <c r="B96" s="131"/>
      <c r="C96" s="192"/>
      <c r="D96" s="129"/>
      <c r="E96" s="129">
        <v>600</v>
      </c>
      <c r="F96" s="129"/>
      <c r="G96" s="129"/>
      <c r="H96" s="129"/>
      <c r="I96" s="129"/>
      <c r="J96" s="129"/>
      <c r="K96" s="132"/>
      <c r="L96" s="124">
        <f t="shared" ref="L96:L113" si="4">SUM(B96:K96)</f>
        <v>600</v>
      </c>
    </row>
    <row r="97" spans="1:12" ht="25.5">
      <c r="A97" s="121" t="s">
        <v>173</v>
      </c>
      <c r="B97" s="131"/>
      <c r="C97" s="192"/>
      <c r="D97" s="129"/>
      <c r="E97" s="129">
        <v>300</v>
      </c>
      <c r="F97" s="129"/>
      <c r="G97" s="129"/>
      <c r="H97" s="129"/>
      <c r="I97" s="129"/>
      <c r="J97" s="129"/>
      <c r="K97" s="132"/>
      <c r="L97" s="124">
        <f t="shared" si="4"/>
        <v>300</v>
      </c>
    </row>
    <row r="98" spans="1:12" ht="25.5">
      <c r="A98" s="121" t="s">
        <v>133</v>
      </c>
      <c r="B98" s="131"/>
      <c r="C98" s="192"/>
      <c r="D98" s="129"/>
      <c r="E98" s="129">
        <v>100</v>
      </c>
      <c r="F98" s="129"/>
      <c r="G98" s="129"/>
      <c r="H98" s="129"/>
      <c r="I98" s="129"/>
      <c r="J98" s="129"/>
      <c r="K98" s="132"/>
      <c r="L98" s="124">
        <f t="shared" si="4"/>
        <v>100</v>
      </c>
    </row>
    <row r="99" spans="1:12">
      <c r="A99" s="121" t="s">
        <v>134</v>
      </c>
      <c r="B99" s="131"/>
      <c r="C99" s="192"/>
      <c r="D99" s="129"/>
      <c r="E99" s="129"/>
      <c r="F99" s="129">
        <v>2860000</v>
      </c>
      <c r="G99" s="129"/>
      <c r="H99" s="129"/>
      <c r="I99" s="129"/>
      <c r="J99" s="129"/>
      <c r="K99" s="132"/>
      <c r="L99" s="124">
        <f t="shared" si="4"/>
        <v>2860000</v>
      </c>
    </row>
    <row r="100" spans="1:12" ht="38.25">
      <c r="A100" s="209" t="s">
        <v>204</v>
      </c>
      <c r="B100" s="131"/>
      <c r="C100" s="192"/>
      <c r="D100" s="129"/>
      <c r="E100" s="129"/>
      <c r="F100" s="129">
        <v>100</v>
      </c>
      <c r="G100" s="129"/>
      <c r="H100" s="129"/>
      <c r="I100" s="129"/>
      <c r="J100" s="129"/>
      <c r="K100" s="132"/>
      <c r="L100" s="124">
        <f t="shared" si="4"/>
        <v>100</v>
      </c>
    </row>
    <row r="101" spans="1:12">
      <c r="A101" s="209" t="s">
        <v>135</v>
      </c>
      <c r="B101" s="131"/>
      <c r="C101" s="192"/>
      <c r="D101" s="129"/>
      <c r="E101" s="129"/>
      <c r="F101" s="129"/>
      <c r="G101" s="129"/>
      <c r="H101" s="129"/>
      <c r="I101" s="129">
        <v>71500</v>
      </c>
      <c r="J101" s="129"/>
      <c r="K101" s="132"/>
      <c r="L101" s="124">
        <f t="shared" si="4"/>
        <v>71500</v>
      </c>
    </row>
    <row r="102" spans="1:12">
      <c r="A102" s="209" t="s">
        <v>136</v>
      </c>
      <c r="B102" s="131"/>
      <c r="C102" s="192"/>
      <c r="D102" s="129"/>
      <c r="E102" s="129">
        <v>2623000</v>
      </c>
      <c r="F102" s="129"/>
      <c r="G102" s="129"/>
      <c r="H102" s="129"/>
      <c r="I102" s="129"/>
      <c r="J102" s="129"/>
      <c r="K102" s="132"/>
      <c r="L102" s="124">
        <f t="shared" si="4"/>
        <v>2623000</v>
      </c>
    </row>
    <row r="103" spans="1:12" ht="25.5">
      <c r="A103" s="209" t="s">
        <v>174</v>
      </c>
      <c r="B103" s="131"/>
      <c r="C103" s="192"/>
      <c r="D103" s="129"/>
      <c r="E103" s="129"/>
      <c r="F103" s="129"/>
      <c r="G103" s="129"/>
      <c r="H103" s="129">
        <v>1000</v>
      </c>
      <c r="I103" s="129"/>
      <c r="J103" s="129"/>
      <c r="K103" s="132"/>
      <c r="L103" s="124">
        <f t="shared" si="4"/>
        <v>1000</v>
      </c>
    </row>
    <row r="104" spans="1:12">
      <c r="A104" s="209" t="s">
        <v>137</v>
      </c>
      <c r="B104" s="131"/>
      <c r="C104" s="192"/>
      <c r="D104" s="129"/>
      <c r="E104" s="129"/>
      <c r="F104" s="129"/>
      <c r="G104" s="129"/>
      <c r="H104" s="129">
        <v>14000</v>
      </c>
      <c r="I104" s="129"/>
      <c r="J104" s="129"/>
      <c r="K104" s="132"/>
      <c r="L104" s="124">
        <f t="shared" si="4"/>
        <v>14000</v>
      </c>
    </row>
    <row r="105" spans="1:12" ht="25.5">
      <c r="A105" s="209" t="s">
        <v>143</v>
      </c>
      <c r="B105" s="131"/>
      <c r="C105" s="192"/>
      <c r="D105" s="129"/>
      <c r="E105" s="129"/>
      <c r="F105" s="129"/>
      <c r="G105" s="129"/>
      <c r="H105" s="129">
        <v>15000</v>
      </c>
      <c r="I105" s="129"/>
      <c r="J105" s="129"/>
      <c r="K105" s="132"/>
      <c r="L105" s="124">
        <f t="shared" si="4"/>
        <v>15000</v>
      </c>
    </row>
    <row r="106" spans="1:12" ht="25.5">
      <c r="A106" s="209" t="s">
        <v>138</v>
      </c>
      <c r="B106" s="131">
        <f>100000</f>
        <v>100000</v>
      </c>
      <c r="C106" s="192"/>
      <c r="D106" s="129">
        <v>89000</v>
      </c>
      <c r="E106" s="129"/>
      <c r="F106" s="129"/>
      <c r="G106" s="129"/>
      <c r="H106" s="129"/>
      <c r="I106" s="129"/>
      <c r="J106" s="129"/>
      <c r="K106" s="132"/>
      <c r="L106" s="124">
        <f t="shared" si="4"/>
        <v>189000</v>
      </c>
    </row>
    <row r="107" spans="1:12" ht="25.5">
      <c r="A107" s="209" t="s">
        <v>166</v>
      </c>
      <c r="B107" s="131"/>
      <c r="C107" s="192"/>
      <c r="D107" s="129"/>
      <c r="E107" s="129"/>
      <c r="F107" s="129"/>
      <c r="G107" s="129"/>
      <c r="H107" s="129"/>
      <c r="I107" s="129"/>
      <c r="J107" s="129"/>
      <c r="K107" s="132"/>
      <c r="L107" s="124">
        <f t="shared" si="4"/>
        <v>0</v>
      </c>
    </row>
    <row r="108" spans="1:12" ht="38.25">
      <c r="A108" s="209" t="s">
        <v>176</v>
      </c>
      <c r="B108" s="131">
        <v>375000</v>
      </c>
      <c r="C108" s="192"/>
      <c r="D108" s="129">
        <f>411000</f>
        <v>411000</v>
      </c>
      <c r="E108" s="129"/>
      <c r="F108" s="129"/>
      <c r="G108" s="129"/>
      <c r="H108" s="129"/>
      <c r="I108" s="129"/>
      <c r="J108" s="129"/>
      <c r="K108" s="132"/>
      <c r="L108" s="124">
        <f t="shared" si="4"/>
        <v>786000</v>
      </c>
    </row>
    <row r="109" spans="1:12">
      <c r="A109" s="209" t="s">
        <v>139</v>
      </c>
      <c r="B109" s="131"/>
      <c r="C109" s="192"/>
      <c r="D109" s="129"/>
      <c r="E109" s="129"/>
      <c r="F109" s="129">
        <v>14300000</v>
      </c>
      <c r="G109" s="129"/>
      <c r="H109" s="129"/>
      <c r="I109" s="129"/>
      <c r="J109" s="129"/>
      <c r="K109" s="132"/>
      <c r="L109" s="124">
        <f t="shared" si="4"/>
        <v>14300000</v>
      </c>
    </row>
    <row r="110" spans="1:12">
      <c r="A110" s="209" t="s">
        <v>140</v>
      </c>
      <c r="B110" s="131"/>
      <c r="C110" s="192"/>
      <c r="D110" s="129"/>
      <c r="E110" s="129">
        <v>40000</v>
      </c>
      <c r="F110" s="129"/>
      <c r="G110" s="129"/>
      <c r="H110" s="129"/>
      <c r="I110" s="129"/>
      <c r="J110" s="129"/>
      <c r="K110" s="132"/>
      <c r="L110" s="124">
        <f t="shared" si="4"/>
        <v>40000</v>
      </c>
    </row>
    <row r="111" spans="1:12" ht="25.5">
      <c r="A111" s="210" t="s">
        <v>202</v>
      </c>
      <c r="B111" s="131"/>
      <c r="C111" s="192"/>
      <c r="D111" s="129"/>
      <c r="E111" s="129"/>
      <c r="F111" s="129"/>
      <c r="G111" s="129"/>
      <c r="H111" s="129"/>
      <c r="I111" s="129">
        <v>100</v>
      </c>
      <c r="J111" s="129"/>
      <c r="K111" s="132"/>
      <c r="L111" s="124">
        <f t="shared" si="4"/>
        <v>100</v>
      </c>
    </row>
    <row r="112" spans="1:12" ht="25.5">
      <c r="A112" s="122" t="s">
        <v>179</v>
      </c>
      <c r="B112" s="131"/>
      <c r="C112" s="192"/>
      <c r="D112" s="129"/>
      <c r="E112" s="129"/>
      <c r="F112" s="129"/>
      <c r="G112" s="129"/>
      <c r="H112" s="129"/>
      <c r="I112" s="129"/>
      <c r="J112" s="129"/>
      <c r="K112" s="132"/>
      <c r="L112" s="124">
        <f t="shared" si="4"/>
        <v>0</v>
      </c>
    </row>
    <row r="113" spans="1:15" ht="13.5" thickBot="1">
      <c r="A113" s="123" t="s">
        <v>141</v>
      </c>
      <c r="B113" s="133"/>
      <c r="C113" s="193"/>
      <c r="D113" s="134"/>
      <c r="E113" s="134"/>
      <c r="F113" s="134"/>
      <c r="G113" s="134"/>
      <c r="H113" s="134"/>
      <c r="I113" s="134"/>
      <c r="J113" s="134"/>
      <c r="K113" s="135"/>
      <c r="L113" s="124">
        <f t="shared" si="4"/>
        <v>0</v>
      </c>
    </row>
    <row r="114" spans="1:15" ht="26.25" thickBot="1">
      <c r="A114" s="9" t="s">
        <v>142</v>
      </c>
      <c r="B114" s="128">
        <f>SUM(B95:B113)</f>
        <v>475000</v>
      </c>
      <c r="C114" s="128">
        <f t="shared" ref="C114:K114" si="5">SUM(C95:C113)</f>
        <v>0</v>
      </c>
      <c r="D114" s="128">
        <f t="shared" si="5"/>
        <v>500000</v>
      </c>
      <c r="E114" s="128">
        <f t="shared" si="5"/>
        <v>2664000</v>
      </c>
      <c r="F114" s="128">
        <f t="shared" si="5"/>
        <v>17160100</v>
      </c>
      <c r="G114" s="128">
        <f t="shared" si="5"/>
        <v>60000</v>
      </c>
      <c r="H114" s="128">
        <f t="shared" si="5"/>
        <v>30000</v>
      </c>
      <c r="I114" s="128">
        <f t="shared" si="5"/>
        <v>71600</v>
      </c>
      <c r="J114" s="128">
        <f t="shared" si="5"/>
        <v>0</v>
      </c>
      <c r="K114" s="128">
        <f t="shared" si="5"/>
        <v>0</v>
      </c>
      <c r="L114" s="59">
        <f>SUM(L95:L113)</f>
        <v>20960700</v>
      </c>
      <c r="N114" s="141">
        <f>B114+D114+C114</f>
        <v>975000</v>
      </c>
      <c r="O114" s="141">
        <f>E114+F114+G114+H114+I114</f>
        <v>19985700</v>
      </c>
    </row>
    <row r="115" spans="1:15" ht="26.25" thickBot="1">
      <c r="A115" s="10" t="s">
        <v>180</v>
      </c>
      <c r="B115" s="218">
        <f>SUM(B114:K114)</f>
        <v>20960700</v>
      </c>
      <c r="C115" s="219"/>
      <c r="D115" s="219"/>
      <c r="E115" s="219"/>
      <c r="F115" s="219"/>
      <c r="G115" s="219"/>
      <c r="H115" s="219"/>
      <c r="I115" s="219"/>
      <c r="J115" s="219"/>
      <c r="K115" s="220"/>
      <c r="L115" s="61"/>
      <c r="N115" s="142" t="s">
        <v>188</v>
      </c>
      <c r="O115" s="142" t="s">
        <v>189</v>
      </c>
    </row>
    <row r="116" spans="1:15" ht="13.5" thickBot="1">
      <c r="A116" s="11"/>
      <c r="B116" s="53"/>
      <c r="C116" s="53"/>
      <c r="D116" s="53"/>
      <c r="E116" s="53"/>
      <c r="F116" s="54"/>
      <c r="G116" s="54"/>
      <c r="H116" s="54"/>
      <c r="I116" s="12"/>
      <c r="J116" s="12"/>
      <c r="K116" s="12"/>
      <c r="L116" s="54"/>
      <c r="N116" s="201"/>
      <c r="O116" s="202"/>
    </row>
    <row r="117" spans="1:15">
      <c r="A117" s="140" t="s">
        <v>209</v>
      </c>
      <c r="B117" s="58"/>
      <c r="C117" s="58"/>
      <c r="D117" s="58"/>
      <c r="E117" s="5"/>
      <c r="F117" s="97" t="s">
        <v>198</v>
      </c>
      <c r="G117" s="16"/>
      <c r="H117" s="50">
        <f>L114</f>
        <v>20960700</v>
      </c>
      <c r="N117" s="228">
        <f>N114+O114</f>
        <v>20960700</v>
      </c>
      <c r="O117" s="229"/>
    </row>
    <row r="118" spans="1:15">
      <c r="A118" s="13" t="s">
        <v>210</v>
      </c>
      <c r="B118" s="58"/>
      <c r="C118" s="58"/>
      <c r="D118" s="58"/>
      <c r="E118" s="5"/>
      <c r="F118" s="17" t="s">
        <v>199</v>
      </c>
      <c r="G118" s="15"/>
      <c r="H118" s="51">
        <f>'RASHODI 25-26-27'!I86</f>
        <v>20960700</v>
      </c>
    </row>
    <row r="119" spans="1:15" ht="13.5" thickBot="1">
      <c r="A119" s="13" t="s">
        <v>207</v>
      </c>
      <c r="B119" s="58"/>
      <c r="C119" s="58"/>
      <c r="D119" s="58"/>
      <c r="E119" s="5"/>
      <c r="F119" s="18" t="s">
        <v>165</v>
      </c>
      <c r="G119" s="19"/>
      <c r="H119" s="52">
        <f>H117-H118</f>
        <v>0</v>
      </c>
    </row>
    <row r="120" spans="1:15">
      <c r="A120" s="243" t="s">
        <v>218</v>
      </c>
      <c r="B120" s="58"/>
      <c r="C120" s="58"/>
      <c r="D120" s="58"/>
      <c r="E120" s="5"/>
      <c r="F120" s="117"/>
      <c r="G120" s="117"/>
      <c r="H120" s="118"/>
    </row>
    <row r="121" spans="1:15">
      <c r="A121" s="117"/>
    </row>
  </sheetData>
  <mergeCells count="12">
    <mergeCell ref="N29:O29"/>
    <mergeCell ref="N72:O72"/>
    <mergeCell ref="N117:O117"/>
    <mergeCell ref="A91:L91"/>
    <mergeCell ref="B93:L93"/>
    <mergeCell ref="B115:K115"/>
    <mergeCell ref="A2:L2"/>
    <mergeCell ref="B70:K70"/>
    <mergeCell ref="A46:L46"/>
    <mergeCell ref="B48:L48"/>
    <mergeCell ref="B4:L4"/>
    <mergeCell ref="B27:K27"/>
  </mergeCells>
  <pageMargins left="0.11811023622047245" right="0.11811023622047245" top="0.15748031496062992" bottom="0.15748031496062992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7"/>
  <sheetViews>
    <sheetView topLeftCell="B1" zoomScale="96" zoomScaleNormal="96" workbookViewId="0">
      <selection activeCell="I85" sqref="I85"/>
    </sheetView>
  </sheetViews>
  <sheetFormatPr defaultColWidth="9.140625" defaultRowHeight="12"/>
  <cols>
    <col min="1" max="1" width="9.140625" style="1" hidden="1" customWidth="1"/>
    <col min="2" max="2" width="9.140625" style="1"/>
    <col min="3" max="3" width="43.7109375" style="1" customWidth="1"/>
    <col min="4" max="5" width="19.85546875" style="1" customWidth="1"/>
    <col min="6" max="6" width="18.85546875" style="1" bestFit="1" customWidth="1"/>
    <col min="7" max="7" width="19.28515625" style="1" customWidth="1"/>
    <col min="8" max="8" width="9.28515625" style="1" bestFit="1" customWidth="1"/>
    <col min="9" max="9" width="19.28515625" style="1" bestFit="1" customWidth="1"/>
    <col min="10" max="10" width="8.7109375" style="1" bestFit="1" customWidth="1"/>
    <col min="11" max="11" width="14.42578125" style="1" bestFit="1" customWidth="1"/>
    <col min="12" max="16384" width="9.140625" style="1"/>
  </cols>
  <sheetData>
    <row r="1" spans="1:11" ht="13.5" thickBot="1">
      <c r="B1" s="233" t="s">
        <v>152</v>
      </c>
      <c r="C1" s="234"/>
      <c r="D1" s="234"/>
      <c r="E1" s="234"/>
      <c r="F1" s="234"/>
      <c r="G1" s="234"/>
      <c r="H1" s="234"/>
      <c r="I1" s="234"/>
      <c r="J1" s="235"/>
    </row>
    <row r="2" spans="1:11" ht="21" thickBot="1">
      <c r="B2" s="236" t="s">
        <v>191</v>
      </c>
      <c r="C2" s="237"/>
      <c r="D2" s="237"/>
      <c r="E2" s="237"/>
      <c r="F2" s="237"/>
      <c r="G2" s="237"/>
      <c r="H2" s="237"/>
      <c r="I2" s="237"/>
      <c r="J2" s="238"/>
    </row>
    <row r="3" spans="1:11" ht="63.75" thickBot="1">
      <c r="A3" s="1" t="s">
        <v>128</v>
      </c>
      <c r="B3" s="98" t="s">
        <v>127</v>
      </c>
      <c r="C3" s="99" t="s">
        <v>126</v>
      </c>
      <c r="D3" s="107" t="s">
        <v>200</v>
      </c>
      <c r="E3" s="109" t="s">
        <v>172</v>
      </c>
      <c r="F3" s="115" t="s">
        <v>192</v>
      </c>
      <c r="G3" s="101" t="s">
        <v>190</v>
      </c>
      <c r="H3" s="105" t="s">
        <v>168</v>
      </c>
      <c r="I3" s="101" t="s">
        <v>193</v>
      </c>
      <c r="J3" s="75" t="s">
        <v>169</v>
      </c>
      <c r="K3" s="113"/>
    </row>
    <row r="4" spans="1:11" ht="15.75">
      <c r="A4" s="1" t="e">
        <f>LEN(#REF!)</f>
        <v>#REF!</v>
      </c>
      <c r="B4" s="21" t="s">
        <v>125</v>
      </c>
      <c r="C4" s="22" t="s">
        <v>124</v>
      </c>
      <c r="D4" s="144">
        <f>D5+D15+D48+D56</f>
        <v>13613940.379999999</v>
      </c>
      <c r="E4" s="144">
        <f>E5+E15+E48+E56</f>
        <v>3263710.18</v>
      </c>
      <c r="F4" s="144">
        <f>F5+F15+F48+F56</f>
        <v>16877650.560000002</v>
      </c>
      <c r="G4" s="144">
        <f>G5+G15+G48+G56</f>
        <v>17864700</v>
      </c>
      <c r="H4" s="106">
        <f t="shared" ref="H4:H35" si="0">G4/F4*100</f>
        <v>105.84826327865386</v>
      </c>
      <c r="I4" s="23">
        <f>I5+I15+I48+I56</f>
        <v>19473750</v>
      </c>
      <c r="J4" s="100">
        <f t="shared" ref="J4:J35" si="1">I4/G4*100</f>
        <v>109.00686829333826</v>
      </c>
      <c r="K4" s="114"/>
    </row>
    <row r="5" spans="1:11" ht="15.75">
      <c r="A5" s="1" t="e">
        <f>LEN(#REF!)</f>
        <v>#REF!</v>
      </c>
      <c r="B5" s="24" t="s">
        <v>123</v>
      </c>
      <c r="C5" s="25" t="s">
        <v>122</v>
      </c>
      <c r="D5" s="145">
        <f>D6+D10+D12</f>
        <v>8700100</v>
      </c>
      <c r="E5" s="145">
        <f>E6+E10+E12</f>
        <v>2914900</v>
      </c>
      <c r="F5" s="145">
        <f>F6+F10+F12</f>
        <v>11615000</v>
      </c>
      <c r="G5" s="145">
        <f>G6+G10+G12</f>
        <v>12172050</v>
      </c>
      <c r="H5" s="106">
        <f t="shared" si="0"/>
        <v>104.79595350839432</v>
      </c>
      <c r="I5" s="76">
        <f>I6+I10+I12</f>
        <v>13490000</v>
      </c>
      <c r="J5" s="100">
        <f t="shared" si="1"/>
        <v>110.82767487810187</v>
      </c>
      <c r="K5" s="114"/>
    </row>
    <row r="6" spans="1:11" ht="12.75">
      <c r="A6" s="1" t="e">
        <f>LEN(#REF!)</f>
        <v>#REF!</v>
      </c>
      <c r="B6" s="27" t="s">
        <v>121</v>
      </c>
      <c r="C6" s="28" t="s">
        <v>120</v>
      </c>
      <c r="D6" s="147">
        <f>SUM(D7:D9)</f>
        <v>7180000</v>
      </c>
      <c r="E6" s="147">
        <f>SUM(E7:E9)</f>
        <v>2290500</v>
      </c>
      <c r="F6" s="147">
        <f>SUM(F7:F9)</f>
        <v>9470500</v>
      </c>
      <c r="G6" s="148">
        <f>SUM(G7:G9)</f>
        <v>9922050</v>
      </c>
      <c r="H6" s="106">
        <f t="shared" si="0"/>
        <v>104.76796367668022</v>
      </c>
      <c r="I6" s="74">
        <f>SUM(I7:I9)</f>
        <v>10990000</v>
      </c>
      <c r="J6" s="100">
        <f t="shared" si="1"/>
        <v>110.76340070852294</v>
      </c>
      <c r="K6" s="114"/>
    </row>
    <row r="7" spans="1:11">
      <c r="A7" s="1" t="e">
        <f>LEN(#REF!)</f>
        <v>#REF!</v>
      </c>
      <c r="B7" s="29" t="s">
        <v>119</v>
      </c>
      <c r="C7" s="30" t="s">
        <v>118</v>
      </c>
      <c r="D7" s="149">
        <v>6750000</v>
      </c>
      <c r="E7" s="149">
        <f>F7-D7</f>
        <v>2350000</v>
      </c>
      <c r="F7" s="150">
        <v>9100000</v>
      </c>
      <c r="G7" s="102">
        <f>9240000+80000+80000</f>
        <v>9400000</v>
      </c>
      <c r="H7" s="106">
        <f t="shared" si="0"/>
        <v>103.29670329670331</v>
      </c>
      <c r="I7" s="102">
        <f>10165000+60000+100000</f>
        <v>10325000</v>
      </c>
      <c r="J7" s="100">
        <f t="shared" si="1"/>
        <v>109.84042553191489</v>
      </c>
      <c r="K7" s="114"/>
    </row>
    <row r="8" spans="1:11">
      <c r="A8" s="1" t="e">
        <f>LEN(#REF!)</f>
        <v>#REF!</v>
      </c>
      <c r="B8" s="29" t="s">
        <v>117</v>
      </c>
      <c r="C8" s="30" t="s">
        <v>116</v>
      </c>
      <c r="D8" s="149">
        <v>270000</v>
      </c>
      <c r="E8" s="149">
        <f>F8-D8</f>
        <v>100500</v>
      </c>
      <c r="F8" s="150">
        <v>370500</v>
      </c>
      <c r="G8" s="102">
        <f>376200+23800+130000-7950</f>
        <v>522050</v>
      </c>
      <c r="H8" s="106">
        <f t="shared" si="0"/>
        <v>140.90418353576248</v>
      </c>
      <c r="I8" s="102">
        <f>415000+40000+210000</f>
        <v>665000</v>
      </c>
      <c r="J8" s="100">
        <f t="shared" si="1"/>
        <v>127.38243463269802</v>
      </c>
      <c r="K8" s="114"/>
    </row>
    <row r="9" spans="1:11">
      <c r="A9" s="1" t="e">
        <f>LEN(#REF!)</f>
        <v>#REF!</v>
      </c>
      <c r="B9" s="29" t="s">
        <v>115</v>
      </c>
      <c r="C9" s="30" t="s">
        <v>114</v>
      </c>
      <c r="D9" s="149">
        <v>160000</v>
      </c>
      <c r="E9" s="149">
        <f>F9-D9</f>
        <v>-160000</v>
      </c>
      <c r="F9" s="150">
        <v>0</v>
      </c>
      <c r="G9" s="102">
        <v>0</v>
      </c>
      <c r="H9" s="106" t="e">
        <f t="shared" si="0"/>
        <v>#DIV/0!</v>
      </c>
      <c r="I9" s="102">
        <v>0</v>
      </c>
      <c r="J9" s="100" t="e">
        <f t="shared" si="1"/>
        <v>#DIV/0!</v>
      </c>
      <c r="K9" s="114"/>
    </row>
    <row r="10" spans="1:11" ht="12.75">
      <c r="A10" s="1" t="e">
        <f>LEN(#REF!)</f>
        <v>#REF!</v>
      </c>
      <c r="B10" s="31">
        <v>312</v>
      </c>
      <c r="C10" s="28" t="s">
        <v>112</v>
      </c>
      <c r="D10" s="147">
        <f>SUM(D11)</f>
        <v>460000</v>
      </c>
      <c r="E10" s="147">
        <f>SUM(E11)</f>
        <v>183000</v>
      </c>
      <c r="F10" s="147">
        <f>SUM(F11)</f>
        <v>643000</v>
      </c>
      <c r="G10" s="148">
        <f>SUM(G11)</f>
        <v>700000</v>
      </c>
      <c r="H10" s="106">
        <f t="shared" si="0"/>
        <v>108.86469673405909</v>
      </c>
      <c r="I10" s="74">
        <f>SUM(I11)</f>
        <v>790000</v>
      </c>
      <c r="J10" s="100">
        <f t="shared" si="1"/>
        <v>112.85714285714286</v>
      </c>
      <c r="K10" s="114"/>
    </row>
    <row r="11" spans="1:11">
      <c r="A11" s="1" t="e">
        <f>LEN(#REF!)</f>
        <v>#REF!</v>
      </c>
      <c r="B11" s="29" t="s">
        <v>113</v>
      </c>
      <c r="C11" s="30" t="s">
        <v>112</v>
      </c>
      <c r="D11" s="149">
        <v>460000</v>
      </c>
      <c r="E11" s="149">
        <f>F11-D11</f>
        <v>183000</v>
      </c>
      <c r="F11" s="150">
        <v>643000</v>
      </c>
      <c r="G11" s="102">
        <f>678200+21800</f>
        <v>700000</v>
      </c>
      <c r="H11" s="106">
        <f t="shared" si="0"/>
        <v>108.86469673405909</v>
      </c>
      <c r="I11" s="102">
        <f>750000+20000+20000</f>
        <v>790000</v>
      </c>
      <c r="J11" s="100">
        <f t="shared" si="1"/>
        <v>112.85714285714286</v>
      </c>
      <c r="K11" s="114"/>
    </row>
    <row r="12" spans="1:11" ht="12.75">
      <c r="A12" s="1" t="e">
        <f>LEN(#REF!)</f>
        <v>#REF!</v>
      </c>
      <c r="B12" s="93">
        <v>313</v>
      </c>
      <c r="C12" s="94" t="s">
        <v>111</v>
      </c>
      <c r="D12" s="147">
        <f>SUM(D13:D14)</f>
        <v>1060100</v>
      </c>
      <c r="E12" s="147">
        <f>SUM(E13:E14)</f>
        <v>441400</v>
      </c>
      <c r="F12" s="147">
        <f>SUM(F13:F14)</f>
        <v>1501500</v>
      </c>
      <c r="G12" s="148">
        <f>SUM(G13:G14)</f>
        <v>1550000</v>
      </c>
      <c r="H12" s="106">
        <f t="shared" si="0"/>
        <v>103.23010323010323</v>
      </c>
      <c r="I12" s="74">
        <f>SUM(I13:I14)</f>
        <v>1710000</v>
      </c>
      <c r="J12" s="100">
        <f t="shared" si="1"/>
        <v>110.3225806451613</v>
      </c>
      <c r="K12" s="114"/>
    </row>
    <row r="13" spans="1:11">
      <c r="B13" s="90" t="s">
        <v>110</v>
      </c>
      <c r="C13" s="91" t="s">
        <v>109</v>
      </c>
      <c r="D13" s="149">
        <v>1060000</v>
      </c>
      <c r="E13" s="149">
        <f>F13-D13</f>
        <v>441500</v>
      </c>
      <c r="F13" s="150">
        <v>1501500</v>
      </c>
      <c r="G13" s="102">
        <f>1524600+25400</f>
        <v>1550000</v>
      </c>
      <c r="H13" s="106">
        <f t="shared" si="0"/>
        <v>103.23010323010323</v>
      </c>
      <c r="I13" s="102">
        <f>1670000+20000+20000</f>
        <v>1710000</v>
      </c>
      <c r="J13" s="100">
        <f t="shared" si="1"/>
        <v>110.3225806451613</v>
      </c>
      <c r="K13" s="114"/>
    </row>
    <row r="14" spans="1:11">
      <c r="B14" s="29">
        <v>3133</v>
      </c>
      <c r="C14" s="30" t="s">
        <v>108</v>
      </c>
      <c r="D14" s="149">
        <v>100</v>
      </c>
      <c r="E14" s="149">
        <f>F14-D14</f>
        <v>-100</v>
      </c>
      <c r="F14" s="150">
        <v>0</v>
      </c>
      <c r="G14" s="102">
        <v>0</v>
      </c>
      <c r="H14" s="106" t="e">
        <f t="shared" si="0"/>
        <v>#DIV/0!</v>
      </c>
      <c r="I14" s="102">
        <v>0</v>
      </c>
      <c r="J14" s="100" t="e">
        <f t="shared" si="1"/>
        <v>#DIV/0!</v>
      </c>
      <c r="K14" s="114"/>
    </row>
    <row r="15" spans="1:11" ht="15.75">
      <c r="A15" s="1" t="e">
        <f>LEN(#REF!)</f>
        <v>#REF!</v>
      </c>
      <c r="B15" s="24" t="s">
        <v>107</v>
      </c>
      <c r="C15" s="25" t="s">
        <v>106</v>
      </c>
      <c r="D15" s="145">
        <f>D16+D21+D28+D38+D40</f>
        <v>4855600.38</v>
      </c>
      <c r="E15" s="145">
        <f>E16+E21+E28+E38+E40</f>
        <v>300750.18</v>
      </c>
      <c r="F15" s="145">
        <f>F16+F21+F28+F38+F40</f>
        <v>5156350.5600000005</v>
      </c>
      <c r="G15" s="145">
        <f>G16+G21+G28+G38+G40</f>
        <v>5580050</v>
      </c>
      <c r="H15" s="106">
        <f t="shared" si="0"/>
        <v>108.21704100739029</v>
      </c>
      <c r="I15" s="76">
        <f>I16+I21+I28+I38+I40</f>
        <v>5888050</v>
      </c>
      <c r="J15" s="100">
        <f t="shared" si="1"/>
        <v>105.51966380229567</v>
      </c>
      <c r="K15" s="114"/>
    </row>
    <row r="16" spans="1:11" ht="12.75">
      <c r="A16" s="1" t="e">
        <f>LEN(#REF!)</f>
        <v>#REF!</v>
      </c>
      <c r="B16" s="27" t="s">
        <v>105</v>
      </c>
      <c r="C16" s="28" t="s">
        <v>104</v>
      </c>
      <c r="D16" s="147">
        <f>SUM(D17:D20)</f>
        <v>265100</v>
      </c>
      <c r="E16" s="147">
        <f>SUM(E17:E20)</f>
        <v>19000</v>
      </c>
      <c r="F16" s="147">
        <f>SUM(F17:F20)</f>
        <v>284100</v>
      </c>
      <c r="G16" s="148">
        <f>SUM(G17:G20)</f>
        <v>291100</v>
      </c>
      <c r="H16" s="106">
        <f t="shared" si="0"/>
        <v>102.46392115452305</v>
      </c>
      <c r="I16" s="74">
        <f>SUM(I17:I20)</f>
        <v>314100</v>
      </c>
      <c r="J16" s="100">
        <f t="shared" si="1"/>
        <v>107.90106492614223</v>
      </c>
      <c r="K16" s="114"/>
    </row>
    <row r="17" spans="1:11">
      <c r="A17" s="1" t="e">
        <f>LEN(#REF!)</f>
        <v>#REF!</v>
      </c>
      <c r="B17" s="29" t="s">
        <v>103</v>
      </c>
      <c r="C17" s="30" t="s">
        <v>102</v>
      </c>
      <c r="D17" s="149">
        <v>22000</v>
      </c>
      <c r="E17" s="149">
        <f>F17-D17</f>
        <v>1000</v>
      </c>
      <c r="F17" s="150">
        <v>23000</v>
      </c>
      <c r="G17" s="102">
        <v>25000</v>
      </c>
      <c r="H17" s="106">
        <f t="shared" si="0"/>
        <v>108.69565217391303</v>
      </c>
      <c r="I17" s="102">
        <v>26000</v>
      </c>
      <c r="J17" s="100">
        <f t="shared" si="1"/>
        <v>104</v>
      </c>
      <c r="K17" s="114"/>
    </row>
    <row r="18" spans="1:11">
      <c r="A18" s="1" t="e">
        <f>LEN(#REF!)</f>
        <v>#REF!</v>
      </c>
      <c r="B18" s="29" t="s">
        <v>101</v>
      </c>
      <c r="C18" s="30" t="s">
        <v>100</v>
      </c>
      <c r="D18" s="149">
        <v>200000</v>
      </c>
      <c r="E18" s="149">
        <f>F18-D18</f>
        <v>17000</v>
      </c>
      <c r="F18" s="150">
        <v>217000</v>
      </c>
      <c r="G18" s="102">
        <v>221000</v>
      </c>
      <c r="H18" s="106">
        <f t="shared" si="0"/>
        <v>101.84331797235022</v>
      </c>
      <c r="I18" s="102">
        <v>242000</v>
      </c>
      <c r="J18" s="100">
        <f t="shared" si="1"/>
        <v>109.50226244343892</v>
      </c>
      <c r="K18" s="114"/>
    </row>
    <row r="19" spans="1:11">
      <c r="A19" s="1" t="e">
        <f>LEN(#REF!)</f>
        <v>#REF!</v>
      </c>
      <c r="B19" s="29" t="s">
        <v>99</v>
      </c>
      <c r="C19" s="30" t="s">
        <v>98</v>
      </c>
      <c r="D19" s="149">
        <v>43000</v>
      </c>
      <c r="E19" s="149">
        <f>F19-D19</f>
        <v>1000</v>
      </c>
      <c r="F19" s="150">
        <v>44000</v>
      </c>
      <c r="G19" s="102">
        <v>45000</v>
      </c>
      <c r="H19" s="106">
        <f t="shared" si="0"/>
        <v>102.27272727272727</v>
      </c>
      <c r="I19" s="102">
        <v>46000</v>
      </c>
      <c r="J19" s="100">
        <f t="shared" si="1"/>
        <v>102.22222222222221</v>
      </c>
      <c r="K19" s="114"/>
    </row>
    <row r="20" spans="1:11">
      <c r="A20" s="1" t="e">
        <f>LEN(#REF!)</f>
        <v>#REF!</v>
      </c>
      <c r="B20" s="29" t="s">
        <v>97</v>
      </c>
      <c r="C20" s="30" t="s">
        <v>96</v>
      </c>
      <c r="D20" s="149">
        <v>100</v>
      </c>
      <c r="E20" s="149">
        <f>F20-D20</f>
        <v>0</v>
      </c>
      <c r="F20" s="150">
        <v>100</v>
      </c>
      <c r="G20" s="102">
        <v>100</v>
      </c>
      <c r="H20" s="106">
        <f t="shared" si="0"/>
        <v>100</v>
      </c>
      <c r="I20" s="102">
        <v>100</v>
      </c>
      <c r="J20" s="100">
        <f t="shared" si="1"/>
        <v>100</v>
      </c>
      <c r="K20" s="114"/>
    </row>
    <row r="21" spans="1:11" ht="12.75">
      <c r="A21" s="1" t="e">
        <f>LEN(#REF!)</f>
        <v>#REF!</v>
      </c>
      <c r="B21" s="27" t="s">
        <v>95</v>
      </c>
      <c r="C21" s="28" t="s">
        <v>94</v>
      </c>
      <c r="D21" s="147">
        <f>SUM(D22:D27)</f>
        <v>2953600</v>
      </c>
      <c r="E21" s="147">
        <f>SUM(E22:E27)</f>
        <v>311700</v>
      </c>
      <c r="F21" s="147">
        <f>SUM(F22:F27)</f>
        <v>3265300</v>
      </c>
      <c r="G21" s="148">
        <f>SUM(G22:G27)</f>
        <v>3430000</v>
      </c>
      <c r="H21" s="106">
        <f t="shared" si="0"/>
        <v>105.04394695740054</v>
      </c>
      <c r="I21" s="74">
        <f>SUM(I22:I27)</f>
        <v>3571000</v>
      </c>
      <c r="J21" s="100">
        <f t="shared" si="1"/>
        <v>104.11078717201165</v>
      </c>
      <c r="K21" s="114"/>
    </row>
    <row r="22" spans="1:11">
      <c r="A22" s="1" t="e">
        <f>LEN(#REF!)</f>
        <v>#REF!</v>
      </c>
      <c r="B22" s="29" t="s">
        <v>93</v>
      </c>
      <c r="C22" s="30" t="s">
        <v>92</v>
      </c>
      <c r="D22" s="149">
        <v>140000</v>
      </c>
      <c r="E22" s="149">
        <f t="shared" ref="E22:E27" si="2">F22-D22</f>
        <v>10000</v>
      </c>
      <c r="F22" s="150">
        <v>150000</v>
      </c>
      <c r="G22" s="102">
        <v>160000</v>
      </c>
      <c r="H22" s="106">
        <f t="shared" si="0"/>
        <v>106.66666666666667</v>
      </c>
      <c r="I22" s="102">
        <v>170000</v>
      </c>
      <c r="J22" s="100">
        <f t="shared" si="1"/>
        <v>106.25</v>
      </c>
      <c r="K22" s="114"/>
    </row>
    <row r="23" spans="1:11">
      <c r="A23" s="1" t="e">
        <f>LEN(#REF!)</f>
        <v>#REF!</v>
      </c>
      <c r="B23" s="29" t="s">
        <v>91</v>
      </c>
      <c r="C23" s="30" t="s">
        <v>90</v>
      </c>
      <c r="D23" s="149">
        <v>2000000</v>
      </c>
      <c r="E23" s="149">
        <f t="shared" si="2"/>
        <v>191000</v>
      </c>
      <c r="F23" s="239">
        <f>2200000-9000</f>
        <v>2191000</v>
      </c>
      <c r="G23" s="240">
        <f>2300000-18000</f>
        <v>2282000</v>
      </c>
      <c r="H23" s="106">
        <f t="shared" si="0"/>
        <v>104.15335463258786</v>
      </c>
      <c r="I23" s="240">
        <f>2400000-9000</f>
        <v>2391000</v>
      </c>
      <c r="J23" s="100">
        <f t="shared" si="1"/>
        <v>104.77651183172657</v>
      </c>
      <c r="K23" s="114"/>
    </row>
    <row r="24" spans="1:11">
      <c r="A24" s="1" t="e">
        <f>LEN(#REF!)</f>
        <v>#REF!</v>
      </c>
      <c r="B24" s="29" t="s">
        <v>89</v>
      </c>
      <c r="C24" s="30" t="s">
        <v>88</v>
      </c>
      <c r="D24" s="149">
        <v>700000</v>
      </c>
      <c r="E24" s="149">
        <f t="shared" si="2"/>
        <v>100000</v>
      </c>
      <c r="F24" s="150">
        <v>800000</v>
      </c>
      <c r="G24" s="102">
        <v>850000</v>
      </c>
      <c r="H24" s="106">
        <f t="shared" si="0"/>
        <v>106.25</v>
      </c>
      <c r="I24" s="102">
        <v>860000</v>
      </c>
      <c r="J24" s="100">
        <f t="shared" si="1"/>
        <v>101.17647058823529</v>
      </c>
      <c r="K24" s="114"/>
    </row>
    <row r="25" spans="1:11">
      <c r="A25" s="1" t="e">
        <f>LEN(#REF!)</f>
        <v>#REF!</v>
      </c>
      <c r="B25" s="29" t="s">
        <v>87</v>
      </c>
      <c r="C25" s="30" t="s">
        <v>86</v>
      </c>
      <c r="D25" s="149">
        <v>67000</v>
      </c>
      <c r="E25" s="149">
        <f t="shared" si="2"/>
        <v>6700</v>
      </c>
      <c r="F25" s="150">
        <v>73700</v>
      </c>
      <c r="G25" s="102">
        <v>80000</v>
      </c>
      <c r="H25" s="106">
        <f t="shared" si="0"/>
        <v>108.54816824966078</v>
      </c>
      <c r="I25" s="102">
        <v>90000</v>
      </c>
      <c r="J25" s="100">
        <f t="shared" si="1"/>
        <v>112.5</v>
      </c>
      <c r="K25" s="114"/>
    </row>
    <row r="26" spans="1:11">
      <c r="A26" s="1" t="e">
        <f>LEN(#REF!)</f>
        <v>#REF!</v>
      </c>
      <c r="B26" s="29" t="s">
        <v>85</v>
      </c>
      <c r="C26" s="30" t="s">
        <v>84</v>
      </c>
      <c r="D26" s="149">
        <v>32000</v>
      </c>
      <c r="E26" s="149">
        <f t="shared" si="2"/>
        <v>4000</v>
      </c>
      <c r="F26" s="150">
        <v>36000</v>
      </c>
      <c r="G26" s="102">
        <v>38000</v>
      </c>
      <c r="H26" s="106">
        <f t="shared" si="0"/>
        <v>105.55555555555556</v>
      </c>
      <c r="I26" s="102">
        <v>40000</v>
      </c>
      <c r="J26" s="100">
        <f t="shared" si="1"/>
        <v>105.26315789473684</v>
      </c>
      <c r="K26" s="114"/>
    </row>
    <row r="27" spans="1:11">
      <c r="A27" s="1" t="e">
        <f>LEN(#REF!)</f>
        <v>#REF!</v>
      </c>
      <c r="B27" s="29" t="s">
        <v>83</v>
      </c>
      <c r="C27" s="30" t="s">
        <v>82</v>
      </c>
      <c r="D27" s="149">
        <v>14600</v>
      </c>
      <c r="E27" s="149">
        <f t="shared" si="2"/>
        <v>0</v>
      </c>
      <c r="F27" s="150">
        <v>14600</v>
      </c>
      <c r="G27" s="102">
        <v>20000</v>
      </c>
      <c r="H27" s="106">
        <f t="shared" si="0"/>
        <v>136.98630136986301</v>
      </c>
      <c r="I27" s="102">
        <v>20000</v>
      </c>
      <c r="J27" s="100">
        <f t="shared" si="1"/>
        <v>100</v>
      </c>
      <c r="K27" s="114"/>
    </row>
    <row r="28" spans="1:11" ht="12.75">
      <c r="A28" s="1" t="e">
        <f>LEN(#REF!)</f>
        <v>#REF!</v>
      </c>
      <c r="B28" s="27" t="s">
        <v>81</v>
      </c>
      <c r="C28" s="28" t="s">
        <v>80</v>
      </c>
      <c r="D28" s="147">
        <f>SUM(D29:D37)</f>
        <v>1557000.38</v>
      </c>
      <c r="E28" s="147">
        <f>SUM(E29:E37)</f>
        <v>-31999.820000000007</v>
      </c>
      <c r="F28" s="147">
        <f>SUM(F29:F37)</f>
        <v>1525000.56</v>
      </c>
      <c r="G28" s="148">
        <f>SUM(G29:G37)</f>
        <v>1776000</v>
      </c>
      <c r="H28" s="106">
        <f t="shared" si="0"/>
        <v>116.45897362818016</v>
      </c>
      <c r="I28" s="74">
        <f>SUM(I29:I37)</f>
        <v>1919000</v>
      </c>
      <c r="J28" s="100">
        <f t="shared" si="1"/>
        <v>108.0518018018018</v>
      </c>
      <c r="K28" s="114"/>
    </row>
    <row r="29" spans="1:11">
      <c r="A29" s="1" t="e">
        <f>LEN(#REF!)</f>
        <v>#REF!</v>
      </c>
      <c r="B29" s="29" t="s">
        <v>79</v>
      </c>
      <c r="C29" s="30" t="s">
        <v>78</v>
      </c>
      <c r="D29" s="149">
        <v>52000</v>
      </c>
      <c r="E29" s="149">
        <f t="shared" ref="E29:E37" si="3">F29-D29</f>
        <v>3000</v>
      </c>
      <c r="F29" s="150">
        <v>55000</v>
      </c>
      <c r="G29" s="102">
        <v>57000</v>
      </c>
      <c r="H29" s="106">
        <f t="shared" si="0"/>
        <v>103.63636363636364</v>
      </c>
      <c r="I29" s="102">
        <v>60000</v>
      </c>
      <c r="J29" s="100">
        <f t="shared" si="1"/>
        <v>105.26315789473684</v>
      </c>
      <c r="K29" s="114"/>
    </row>
    <row r="30" spans="1:11">
      <c r="A30" s="1" t="e">
        <f>LEN(#REF!)</f>
        <v>#REF!</v>
      </c>
      <c r="B30" s="29" t="s">
        <v>77</v>
      </c>
      <c r="C30" s="30" t="s">
        <v>76</v>
      </c>
      <c r="D30" s="149">
        <v>686500.38</v>
      </c>
      <c r="E30" s="149">
        <f>F30-D30</f>
        <v>-181499.82</v>
      </c>
      <c r="F30" s="151">
        <f>360000.56+145000</f>
        <v>505000.56</v>
      </c>
      <c r="G30" s="143">
        <f>400000+50000+189000</f>
        <v>639000</v>
      </c>
      <c r="H30" s="106">
        <f t="shared" si="0"/>
        <v>126.5345131498468</v>
      </c>
      <c r="I30" s="143">
        <f>420000+100000+189000</f>
        <v>709000</v>
      </c>
      <c r="J30" s="100">
        <f t="shared" si="1"/>
        <v>110.95461658841941</v>
      </c>
      <c r="K30" s="114"/>
    </row>
    <row r="31" spans="1:11">
      <c r="A31" s="1" t="e">
        <f>LEN(#REF!)</f>
        <v>#REF!</v>
      </c>
      <c r="B31" s="29" t="s">
        <v>75</v>
      </c>
      <c r="C31" s="30" t="s">
        <v>74</v>
      </c>
      <c r="D31" s="149">
        <v>75000</v>
      </c>
      <c r="E31" s="149">
        <f t="shared" si="3"/>
        <v>0</v>
      </c>
      <c r="F31" s="150">
        <v>75000</v>
      </c>
      <c r="G31" s="102">
        <v>100000</v>
      </c>
      <c r="H31" s="106">
        <f t="shared" si="0"/>
        <v>133.33333333333331</v>
      </c>
      <c r="I31" s="102">
        <v>100000</v>
      </c>
      <c r="J31" s="100">
        <f t="shared" si="1"/>
        <v>100</v>
      </c>
      <c r="K31" s="114"/>
    </row>
    <row r="32" spans="1:11">
      <c r="A32" s="1" t="e">
        <f>LEN(#REF!)</f>
        <v>#REF!</v>
      </c>
      <c r="B32" s="29" t="s">
        <v>73</v>
      </c>
      <c r="C32" s="30" t="s">
        <v>72</v>
      </c>
      <c r="D32" s="149">
        <v>173000</v>
      </c>
      <c r="E32" s="149">
        <f t="shared" si="3"/>
        <v>7000</v>
      </c>
      <c r="F32" s="150">
        <v>180000</v>
      </c>
      <c r="G32" s="102">
        <v>190000</v>
      </c>
      <c r="H32" s="106">
        <f t="shared" si="0"/>
        <v>105.55555555555556</v>
      </c>
      <c r="I32" s="102">
        <v>200000</v>
      </c>
      <c r="J32" s="100">
        <f t="shared" si="1"/>
        <v>105.26315789473684</v>
      </c>
      <c r="K32" s="114"/>
    </row>
    <row r="33" spans="1:11">
      <c r="A33" s="1" t="e">
        <f>LEN(#REF!)</f>
        <v>#REF!</v>
      </c>
      <c r="B33" s="29" t="s">
        <v>71</v>
      </c>
      <c r="C33" s="30" t="s">
        <v>70</v>
      </c>
      <c r="D33" s="149">
        <v>90000</v>
      </c>
      <c r="E33" s="149">
        <f t="shared" si="3"/>
        <v>40000</v>
      </c>
      <c r="F33" s="150">
        <v>130000</v>
      </c>
      <c r="G33" s="102">
        <v>140000</v>
      </c>
      <c r="H33" s="106">
        <f t="shared" si="0"/>
        <v>107.69230769230769</v>
      </c>
      <c r="I33" s="102">
        <v>150000</v>
      </c>
      <c r="J33" s="100">
        <f t="shared" si="1"/>
        <v>107.14285714285714</v>
      </c>
      <c r="K33" s="114"/>
    </row>
    <row r="34" spans="1:11">
      <c r="A34" s="1" t="e">
        <f>LEN(#REF!)</f>
        <v>#REF!</v>
      </c>
      <c r="B34" s="29" t="s">
        <v>69</v>
      </c>
      <c r="C34" s="30" t="s">
        <v>68</v>
      </c>
      <c r="D34" s="149">
        <v>125000</v>
      </c>
      <c r="E34" s="149">
        <f t="shared" si="3"/>
        <v>25000</v>
      </c>
      <c r="F34" s="150">
        <v>150000</v>
      </c>
      <c r="G34" s="102">
        <v>170000</v>
      </c>
      <c r="H34" s="106">
        <f t="shared" si="0"/>
        <v>113.33333333333333</v>
      </c>
      <c r="I34" s="102">
        <v>180000</v>
      </c>
      <c r="J34" s="100">
        <f t="shared" si="1"/>
        <v>105.88235294117648</v>
      </c>
      <c r="K34" s="114"/>
    </row>
    <row r="35" spans="1:11">
      <c r="A35" s="1" t="e">
        <f>LEN(#REF!)</f>
        <v>#REF!</v>
      </c>
      <c r="B35" s="29" t="s">
        <v>67</v>
      </c>
      <c r="C35" s="30" t="s">
        <v>66</v>
      </c>
      <c r="D35" s="149">
        <v>150000</v>
      </c>
      <c r="E35" s="149">
        <f t="shared" si="3"/>
        <v>30000</v>
      </c>
      <c r="F35" s="150">
        <v>180000</v>
      </c>
      <c r="G35" s="102">
        <v>200000</v>
      </c>
      <c r="H35" s="106">
        <f t="shared" si="0"/>
        <v>111.11111111111111</v>
      </c>
      <c r="I35" s="102">
        <v>220000</v>
      </c>
      <c r="J35" s="100">
        <f t="shared" si="1"/>
        <v>110.00000000000001</v>
      </c>
      <c r="K35" s="114"/>
    </row>
    <row r="36" spans="1:11">
      <c r="A36" s="1" t="e">
        <f>LEN(#REF!)</f>
        <v>#REF!</v>
      </c>
      <c r="B36" s="29" t="s">
        <v>65</v>
      </c>
      <c r="C36" s="30" t="s">
        <v>64</v>
      </c>
      <c r="D36" s="149">
        <v>79700</v>
      </c>
      <c r="E36" s="149">
        <f t="shared" si="3"/>
        <v>20300</v>
      </c>
      <c r="F36" s="151">
        <v>100000</v>
      </c>
      <c r="G36" s="102">
        <v>110000</v>
      </c>
      <c r="H36" s="106">
        <f t="shared" ref="H36:H63" si="4">G36/F36*100</f>
        <v>110.00000000000001</v>
      </c>
      <c r="I36" s="102">
        <v>120000</v>
      </c>
      <c r="J36" s="100">
        <f t="shared" ref="J36:J63" si="5">I36/G36*100</f>
        <v>109.09090909090908</v>
      </c>
      <c r="K36" s="114"/>
    </row>
    <row r="37" spans="1:11">
      <c r="A37" s="1" t="e">
        <f>LEN(#REF!)</f>
        <v>#REF!</v>
      </c>
      <c r="B37" s="29" t="s">
        <v>63</v>
      </c>
      <c r="C37" s="30" t="s">
        <v>62</v>
      </c>
      <c r="D37" s="149">
        <v>125800</v>
      </c>
      <c r="E37" s="149">
        <f t="shared" si="3"/>
        <v>24200</v>
      </c>
      <c r="F37" s="150">
        <v>150000</v>
      </c>
      <c r="G37" s="102">
        <v>170000</v>
      </c>
      <c r="H37" s="106">
        <f t="shared" si="4"/>
        <v>113.33333333333333</v>
      </c>
      <c r="I37" s="102">
        <v>180000</v>
      </c>
      <c r="J37" s="100">
        <f t="shared" si="5"/>
        <v>105.88235294117648</v>
      </c>
      <c r="K37" s="114"/>
    </row>
    <row r="38" spans="1:11" ht="12.75">
      <c r="A38" s="1" t="e">
        <f>LEN(#REF!)</f>
        <v>#REF!</v>
      </c>
      <c r="B38" s="27" t="s">
        <v>61</v>
      </c>
      <c r="C38" s="28" t="s">
        <v>60</v>
      </c>
      <c r="D38" s="152">
        <f>D39</f>
        <v>4000</v>
      </c>
      <c r="E38" s="152">
        <f>E39</f>
        <v>-2000</v>
      </c>
      <c r="F38" s="152">
        <f>F39</f>
        <v>2000</v>
      </c>
      <c r="G38" s="153">
        <f>G39</f>
        <v>2000</v>
      </c>
      <c r="H38" s="106">
        <f t="shared" si="4"/>
        <v>100</v>
      </c>
      <c r="I38" s="77">
        <f>I39</f>
        <v>2000</v>
      </c>
      <c r="J38" s="100">
        <f t="shared" si="5"/>
        <v>100</v>
      </c>
      <c r="K38" s="114"/>
    </row>
    <row r="39" spans="1:11">
      <c r="A39" s="1" t="e">
        <f>LEN(#REF!)</f>
        <v>#REF!</v>
      </c>
      <c r="B39" s="29" t="s">
        <v>59</v>
      </c>
      <c r="C39" s="30" t="s">
        <v>153</v>
      </c>
      <c r="D39" s="149">
        <v>4000</v>
      </c>
      <c r="E39" s="149">
        <f>F39-D39</f>
        <v>-2000</v>
      </c>
      <c r="F39" s="149">
        <v>2000</v>
      </c>
      <c r="G39" s="150">
        <v>2000</v>
      </c>
      <c r="H39" s="106">
        <f t="shared" si="4"/>
        <v>100</v>
      </c>
      <c r="I39" s="102">
        <v>2000</v>
      </c>
      <c r="J39" s="100">
        <f t="shared" si="5"/>
        <v>100</v>
      </c>
      <c r="K39" s="114"/>
    </row>
    <row r="40" spans="1:11" ht="12.75">
      <c r="A40" s="1" t="e">
        <f>LEN(#REF!)</f>
        <v>#REF!</v>
      </c>
      <c r="B40" s="27" t="s">
        <v>58</v>
      </c>
      <c r="C40" s="28" t="s">
        <v>57</v>
      </c>
      <c r="D40" s="147">
        <f>SUM(D41:D47)</f>
        <v>75900</v>
      </c>
      <c r="E40" s="147">
        <f>SUM(E41:E47)</f>
        <v>4050</v>
      </c>
      <c r="F40" s="147">
        <f>SUM(F41:F47)</f>
        <v>79950</v>
      </c>
      <c r="G40" s="148">
        <f>SUM(G41:G47)</f>
        <v>80950</v>
      </c>
      <c r="H40" s="106">
        <f t="shared" si="4"/>
        <v>101.25078173858661</v>
      </c>
      <c r="I40" s="74">
        <f>SUM(I41:I47)</f>
        <v>81950</v>
      </c>
      <c r="J40" s="100">
        <f t="shared" si="5"/>
        <v>101.23533045089562</v>
      </c>
      <c r="K40" s="114"/>
    </row>
    <row r="41" spans="1:11">
      <c r="A41" s="1" t="e">
        <f>LEN(#REF!)</f>
        <v>#REF!</v>
      </c>
      <c r="B41" s="29" t="s">
        <v>56</v>
      </c>
      <c r="C41" s="30" t="s">
        <v>55</v>
      </c>
      <c r="D41" s="149">
        <v>12500</v>
      </c>
      <c r="E41" s="149">
        <f t="shared" ref="E41:E47" si="6">F41-D41</f>
        <v>1150</v>
      </c>
      <c r="F41" s="150">
        <v>13650</v>
      </c>
      <c r="G41" s="102">
        <v>13650</v>
      </c>
      <c r="H41" s="106">
        <f t="shared" si="4"/>
        <v>100</v>
      </c>
      <c r="I41" s="102">
        <v>13650</v>
      </c>
      <c r="J41" s="100">
        <f t="shared" si="5"/>
        <v>100</v>
      </c>
      <c r="K41" s="114"/>
    </row>
    <row r="42" spans="1:11">
      <c r="A42" s="1" t="e">
        <f>LEN(#REF!)</f>
        <v>#REF!</v>
      </c>
      <c r="B42" s="29" t="s">
        <v>54</v>
      </c>
      <c r="C42" s="30" t="s">
        <v>53</v>
      </c>
      <c r="D42" s="149">
        <v>35800</v>
      </c>
      <c r="E42" s="149">
        <f t="shared" si="6"/>
        <v>1200</v>
      </c>
      <c r="F42" s="150">
        <v>37000</v>
      </c>
      <c r="G42" s="102">
        <v>37000</v>
      </c>
      <c r="H42" s="106">
        <f t="shared" si="4"/>
        <v>100</v>
      </c>
      <c r="I42" s="102">
        <v>37000</v>
      </c>
      <c r="J42" s="100">
        <f t="shared" si="5"/>
        <v>100</v>
      </c>
      <c r="K42" s="114"/>
    </row>
    <row r="43" spans="1:11">
      <c r="A43" s="1" t="e">
        <f>LEN(#REF!)</f>
        <v>#REF!</v>
      </c>
      <c r="B43" s="29" t="s">
        <v>52</v>
      </c>
      <c r="C43" s="30" t="s">
        <v>51</v>
      </c>
      <c r="D43" s="149">
        <v>6200</v>
      </c>
      <c r="E43" s="149">
        <f t="shared" si="6"/>
        <v>0</v>
      </c>
      <c r="F43" s="150">
        <v>6200</v>
      </c>
      <c r="G43" s="102">
        <v>7000</v>
      </c>
      <c r="H43" s="106">
        <f t="shared" si="4"/>
        <v>112.90322580645163</v>
      </c>
      <c r="I43" s="102">
        <v>8000</v>
      </c>
      <c r="J43" s="100">
        <f t="shared" si="5"/>
        <v>114.28571428571428</v>
      </c>
      <c r="K43" s="114"/>
    </row>
    <row r="44" spans="1:11">
      <c r="A44" s="1" t="e">
        <f>LEN(#REF!)</f>
        <v>#REF!</v>
      </c>
      <c r="B44" s="29" t="s">
        <v>50</v>
      </c>
      <c r="C44" s="30" t="s">
        <v>49</v>
      </c>
      <c r="D44" s="149">
        <v>6700</v>
      </c>
      <c r="E44" s="149">
        <f t="shared" si="6"/>
        <v>300</v>
      </c>
      <c r="F44" s="150">
        <v>7000</v>
      </c>
      <c r="G44" s="102">
        <v>7200</v>
      </c>
      <c r="H44" s="106">
        <f t="shared" si="4"/>
        <v>102.85714285714285</v>
      </c>
      <c r="I44" s="102">
        <v>7200</v>
      </c>
      <c r="J44" s="100">
        <f t="shared" si="5"/>
        <v>100</v>
      </c>
      <c r="K44" s="114"/>
    </row>
    <row r="45" spans="1:11">
      <c r="A45" s="1" t="e">
        <f>LEN(#REF!)</f>
        <v>#REF!</v>
      </c>
      <c r="B45" s="29" t="s">
        <v>48</v>
      </c>
      <c r="C45" s="30" t="s">
        <v>47</v>
      </c>
      <c r="D45" s="149">
        <v>12000</v>
      </c>
      <c r="E45" s="149">
        <f t="shared" si="6"/>
        <v>1000</v>
      </c>
      <c r="F45" s="150">
        <v>13000</v>
      </c>
      <c r="G45" s="102">
        <v>13000</v>
      </c>
      <c r="H45" s="106">
        <f t="shared" si="4"/>
        <v>100</v>
      </c>
      <c r="I45" s="102">
        <v>13000</v>
      </c>
      <c r="J45" s="100">
        <f t="shared" si="5"/>
        <v>100</v>
      </c>
      <c r="K45" s="114"/>
    </row>
    <row r="46" spans="1:11">
      <c r="A46" s="1" t="e">
        <f>LEN(#REF!)</f>
        <v>#REF!</v>
      </c>
      <c r="B46" s="29" t="s">
        <v>46</v>
      </c>
      <c r="C46" s="30" t="s">
        <v>45</v>
      </c>
      <c r="D46" s="149">
        <v>100</v>
      </c>
      <c r="E46" s="149">
        <f t="shared" si="6"/>
        <v>0</v>
      </c>
      <c r="F46" s="150">
        <v>100</v>
      </c>
      <c r="G46" s="102">
        <v>100</v>
      </c>
      <c r="H46" s="106">
        <f t="shared" si="4"/>
        <v>100</v>
      </c>
      <c r="I46" s="102">
        <v>100</v>
      </c>
      <c r="J46" s="100">
        <f t="shared" si="5"/>
        <v>100</v>
      </c>
      <c r="K46" s="114"/>
    </row>
    <row r="47" spans="1:11">
      <c r="A47" s="1" t="e">
        <f>LEN(#REF!)</f>
        <v>#REF!</v>
      </c>
      <c r="B47" s="29" t="s">
        <v>44</v>
      </c>
      <c r="C47" s="30" t="s">
        <v>43</v>
      </c>
      <c r="D47" s="160">
        <v>2600</v>
      </c>
      <c r="E47" s="160">
        <f t="shared" si="6"/>
        <v>400</v>
      </c>
      <c r="F47" s="150">
        <v>3000</v>
      </c>
      <c r="G47" s="102">
        <v>3000</v>
      </c>
      <c r="H47" s="106">
        <f t="shared" si="4"/>
        <v>100</v>
      </c>
      <c r="I47" s="102">
        <v>3000</v>
      </c>
      <c r="J47" s="100">
        <f t="shared" si="5"/>
        <v>100</v>
      </c>
      <c r="K47" s="114"/>
    </row>
    <row r="48" spans="1:11" ht="15.75">
      <c r="A48" s="1" t="e">
        <f>LEN(#REF!)</f>
        <v>#REF!</v>
      </c>
      <c r="B48" s="32" t="s">
        <v>42</v>
      </c>
      <c r="C48" s="33" t="s">
        <v>41</v>
      </c>
      <c r="D48" s="183">
        <f>D51+D49</f>
        <v>48240</v>
      </c>
      <c r="E48" s="183">
        <f>E51+E49</f>
        <v>57060</v>
      </c>
      <c r="F48" s="183">
        <f>F51+F49</f>
        <v>105300</v>
      </c>
      <c r="G48" s="183">
        <f>G51+G49</f>
        <v>111600</v>
      </c>
      <c r="H48" s="106">
        <f t="shared" si="4"/>
        <v>105.98290598290599</v>
      </c>
      <c r="I48" s="76">
        <f>I51+I49</f>
        <v>94700</v>
      </c>
      <c r="J48" s="100">
        <f t="shared" si="5"/>
        <v>84.856630824372758</v>
      </c>
      <c r="K48" s="114"/>
    </row>
    <row r="49" spans="1:11" ht="12.75">
      <c r="B49" s="34">
        <v>342</v>
      </c>
      <c r="C49" s="35" t="s">
        <v>40</v>
      </c>
      <c r="D49" s="155">
        <f>SUM(D50)</f>
        <v>17400</v>
      </c>
      <c r="E49" s="155">
        <f>SUM(E50)</f>
        <v>47200</v>
      </c>
      <c r="F49" s="155">
        <f>SUM(F50)</f>
        <v>64600</v>
      </c>
      <c r="G49" s="148">
        <f>SUM(G50)</f>
        <v>60600</v>
      </c>
      <c r="H49" s="106">
        <f t="shared" si="4"/>
        <v>93.808049535603715</v>
      </c>
      <c r="I49" s="74">
        <f>SUM(I50)</f>
        <v>38700</v>
      </c>
      <c r="J49" s="100">
        <f t="shared" si="5"/>
        <v>63.861386138613859</v>
      </c>
      <c r="K49" s="114"/>
    </row>
    <row r="50" spans="1:11">
      <c r="B50" s="36">
        <v>3423</v>
      </c>
      <c r="C50" s="30" t="s">
        <v>39</v>
      </c>
      <c r="D50" s="156">
        <v>17400</v>
      </c>
      <c r="E50" s="149">
        <f>F50-D50</f>
        <v>47200</v>
      </c>
      <c r="F50" s="241">
        <f>55600+9000</f>
        <v>64600</v>
      </c>
      <c r="G50" s="242">
        <f>42600+18000</f>
        <v>60600</v>
      </c>
      <c r="H50" s="106">
        <f t="shared" si="4"/>
        <v>93.808049535603715</v>
      </c>
      <c r="I50" s="242">
        <f>29700+9000</f>
        <v>38700</v>
      </c>
      <c r="J50" s="100">
        <f t="shared" si="5"/>
        <v>63.861386138613859</v>
      </c>
      <c r="K50" s="114"/>
    </row>
    <row r="51" spans="1:11" ht="12.75">
      <c r="A51" s="1" t="e">
        <f>LEN(#REF!)</f>
        <v>#REF!</v>
      </c>
      <c r="B51" s="27" t="s">
        <v>38</v>
      </c>
      <c r="C51" s="28" t="s">
        <v>37</v>
      </c>
      <c r="D51" s="147">
        <f>SUM(D52:D55)</f>
        <v>30840</v>
      </c>
      <c r="E51" s="147">
        <f>SUM(E52:E55)</f>
        <v>9860</v>
      </c>
      <c r="F51" s="147">
        <f>SUM(F52:F55)</f>
        <v>40700</v>
      </c>
      <c r="G51" s="148">
        <f>SUM(G52:G55)</f>
        <v>51000</v>
      </c>
      <c r="H51" s="106">
        <f t="shared" si="4"/>
        <v>125.30712530712532</v>
      </c>
      <c r="I51" s="74">
        <f>SUM(I52:I55)</f>
        <v>56000</v>
      </c>
      <c r="J51" s="100">
        <f t="shared" si="5"/>
        <v>109.80392156862746</v>
      </c>
      <c r="K51" s="114"/>
    </row>
    <row r="52" spans="1:11">
      <c r="A52" s="1" t="e">
        <f>LEN(#REF!)</f>
        <v>#REF!</v>
      </c>
      <c r="B52" s="29" t="s">
        <v>36</v>
      </c>
      <c r="C52" s="30" t="s">
        <v>154</v>
      </c>
      <c r="D52" s="149">
        <v>5340</v>
      </c>
      <c r="E52" s="149">
        <f>F52-D52</f>
        <v>160</v>
      </c>
      <c r="F52" s="150">
        <v>5500</v>
      </c>
      <c r="G52" s="102">
        <v>5800</v>
      </c>
      <c r="H52" s="106">
        <f t="shared" si="4"/>
        <v>105.45454545454544</v>
      </c>
      <c r="I52" s="102">
        <v>5800</v>
      </c>
      <c r="J52" s="100">
        <f t="shared" si="5"/>
        <v>100</v>
      </c>
      <c r="K52" s="114"/>
    </row>
    <row r="53" spans="1:11">
      <c r="A53" s="1" t="e">
        <f>LEN(#REF!)</f>
        <v>#REF!</v>
      </c>
      <c r="B53" s="29" t="s">
        <v>35</v>
      </c>
      <c r="C53" s="30" t="s">
        <v>34</v>
      </c>
      <c r="D53" s="149">
        <v>100</v>
      </c>
      <c r="E53" s="149">
        <f>F53-D53</f>
        <v>0</v>
      </c>
      <c r="F53" s="150">
        <v>100</v>
      </c>
      <c r="G53" s="102">
        <v>100</v>
      </c>
      <c r="H53" s="106">
        <f t="shared" si="4"/>
        <v>100</v>
      </c>
      <c r="I53" s="102">
        <v>100</v>
      </c>
      <c r="J53" s="100">
        <f t="shared" si="5"/>
        <v>100</v>
      </c>
      <c r="K53" s="114"/>
    </row>
    <row r="54" spans="1:11">
      <c r="A54" s="1" t="e">
        <f>LEN(#REF!)</f>
        <v>#REF!</v>
      </c>
      <c r="B54" s="37" t="s">
        <v>33</v>
      </c>
      <c r="C54" s="38" t="s">
        <v>32</v>
      </c>
      <c r="D54" s="149">
        <v>400</v>
      </c>
      <c r="E54" s="149">
        <f>F54-D54</f>
        <v>-300</v>
      </c>
      <c r="F54" s="150">
        <v>100</v>
      </c>
      <c r="G54" s="102">
        <v>100</v>
      </c>
      <c r="H54" s="106">
        <f t="shared" si="4"/>
        <v>100</v>
      </c>
      <c r="I54" s="102">
        <v>100</v>
      </c>
      <c r="J54" s="100">
        <f t="shared" si="5"/>
        <v>100</v>
      </c>
      <c r="K54" s="114"/>
    </row>
    <row r="55" spans="1:11">
      <c r="B55" s="39" t="s">
        <v>31</v>
      </c>
      <c r="C55" s="40" t="s">
        <v>155</v>
      </c>
      <c r="D55" s="160">
        <v>25000</v>
      </c>
      <c r="E55" s="160">
        <f>F55-D55</f>
        <v>10000</v>
      </c>
      <c r="F55" s="150">
        <v>35000</v>
      </c>
      <c r="G55" s="102">
        <v>45000</v>
      </c>
      <c r="H55" s="106">
        <f t="shared" si="4"/>
        <v>128.57142857142858</v>
      </c>
      <c r="I55" s="102">
        <v>50000</v>
      </c>
      <c r="J55" s="100">
        <f t="shared" si="5"/>
        <v>111.11111111111111</v>
      </c>
      <c r="K55" s="114"/>
    </row>
    <row r="56" spans="1:11" ht="26.25">
      <c r="B56" s="62">
        <v>38</v>
      </c>
      <c r="C56" s="33" t="s">
        <v>206</v>
      </c>
      <c r="D56" s="183">
        <f t="shared" ref="D56:G57" si="7">SUM(D57)</f>
        <v>10000</v>
      </c>
      <c r="E56" s="183">
        <f t="shared" si="7"/>
        <v>-9000</v>
      </c>
      <c r="F56" s="183">
        <f t="shared" si="7"/>
        <v>1000</v>
      </c>
      <c r="G56" s="146">
        <f t="shared" si="7"/>
        <v>1000</v>
      </c>
      <c r="H56" s="106">
        <f t="shared" si="4"/>
        <v>100</v>
      </c>
      <c r="I56" s="76">
        <f>SUM(I57)</f>
        <v>1000</v>
      </c>
      <c r="J56" s="100">
        <f t="shared" si="5"/>
        <v>100</v>
      </c>
      <c r="K56" s="114"/>
    </row>
    <row r="57" spans="1:11" ht="12.75">
      <c r="B57" s="34">
        <v>383</v>
      </c>
      <c r="C57" s="63" t="s">
        <v>159</v>
      </c>
      <c r="D57" s="147">
        <f t="shared" si="7"/>
        <v>10000</v>
      </c>
      <c r="E57" s="147">
        <f t="shared" si="7"/>
        <v>-9000</v>
      </c>
      <c r="F57" s="147">
        <f t="shared" si="7"/>
        <v>1000</v>
      </c>
      <c r="G57" s="148">
        <f t="shared" si="7"/>
        <v>1000</v>
      </c>
      <c r="H57" s="106">
        <f t="shared" si="4"/>
        <v>100</v>
      </c>
      <c r="I57" s="74">
        <f>SUM(I58)</f>
        <v>1000</v>
      </c>
      <c r="J57" s="100">
        <f t="shared" si="5"/>
        <v>100</v>
      </c>
      <c r="K57" s="114"/>
    </row>
    <row r="58" spans="1:11">
      <c r="B58" s="36">
        <v>3831</v>
      </c>
      <c r="C58" s="67" t="s">
        <v>160</v>
      </c>
      <c r="D58" s="185">
        <v>10000</v>
      </c>
      <c r="E58" s="160">
        <f>F58-D58</f>
        <v>-9000</v>
      </c>
      <c r="F58" s="150">
        <v>1000</v>
      </c>
      <c r="G58" s="150">
        <v>1000</v>
      </c>
      <c r="H58" s="106">
        <f t="shared" si="4"/>
        <v>100</v>
      </c>
      <c r="I58" s="102">
        <v>1000</v>
      </c>
      <c r="J58" s="100">
        <f t="shared" si="5"/>
        <v>100</v>
      </c>
      <c r="K58" s="114"/>
    </row>
    <row r="59" spans="1:11" ht="15.75">
      <c r="A59" s="1" t="e">
        <f>LEN(#REF!)</f>
        <v>#REF!</v>
      </c>
      <c r="B59" s="64" t="s">
        <v>30</v>
      </c>
      <c r="C59" s="68" t="s">
        <v>29</v>
      </c>
      <c r="D59" s="184">
        <f>D60+D64+D77</f>
        <v>2777060</v>
      </c>
      <c r="E59" s="184">
        <f>E60+E64+E77</f>
        <v>228159</v>
      </c>
      <c r="F59" s="184">
        <f>F60+F64+F77</f>
        <v>3005219</v>
      </c>
      <c r="G59" s="184">
        <f>G60+G64+G77</f>
        <v>2880000</v>
      </c>
      <c r="H59" s="106">
        <f t="shared" si="4"/>
        <v>95.833282033688732</v>
      </c>
      <c r="I59" s="103">
        <f>I60+I64+I77</f>
        <v>700950</v>
      </c>
      <c r="J59" s="100">
        <f t="shared" si="5"/>
        <v>24.338541666666664</v>
      </c>
      <c r="K59" s="114"/>
    </row>
    <row r="60" spans="1:11" ht="15.75">
      <c r="A60" s="1" t="e">
        <f>LEN(#REF!)</f>
        <v>#REF!</v>
      </c>
      <c r="B60" s="65" t="s">
        <v>28</v>
      </c>
      <c r="C60" s="69" t="s">
        <v>27</v>
      </c>
      <c r="D60" s="157">
        <f>D61</f>
        <v>14000</v>
      </c>
      <c r="E60" s="157">
        <f>E61</f>
        <v>-4000</v>
      </c>
      <c r="F60" s="157">
        <f>F61</f>
        <v>10000</v>
      </c>
      <c r="G60" s="158">
        <f>G61</f>
        <v>10000</v>
      </c>
      <c r="H60" s="106">
        <f t="shared" si="4"/>
        <v>100</v>
      </c>
      <c r="I60" s="42">
        <f>I61</f>
        <v>10000</v>
      </c>
      <c r="J60" s="100">
        <f t="shared" si="5"/>
        <v>100</v>
      </c>
      <c r="K60" s="114"/>
    </row>
    <row r="61" spans="1:11" ht="12.75">
      <c r="A61" s="1" t="e">
        <f>LEN(#REF!)</f>
        <v>#REF!</v>
      </c>
      <c r="B61" s="66" t="s">
        <v>26</v>
      </c>
      <c r="C61" s="70" t="s">
        <v>25</v>
      </c>
      <c r="D61" s="159">
        <f>SUM(D62:D63)</f>
        <v>14000</v>
      </c>
      <c r="E61" s="159">
        <f>SUM(E62:E63)</f>
        <v>-4000</v>
      </c>
      <c r="F61" s="159">
        <f>SUM(F62:F63)</f>
        <v>10000</v>
      </c>
      <c r="G61" s="159">
        <f>SUM(G62:G63)</f>
        <v>10000</v>
      </c>
      <c r="H61" s="106">
        <f t="shared" si="4"/>
        <v>100</v>
      </c>
      <c r="I61" s="95">
        <f>SUM(I62:I63)</f>
        <v>10000</v>
      </c>
      <c r="J61" s="100">
        <f t="shared" si="5"/>
        <v>100</v>
      </c>
      <c r="K61" s="114"/>
    </row>
    <row r="62" spans="1:11">
      <c r="A62" s="1" t="e">
        <f>LEN(#REF!)</f>
        <v>#REF!</v>
      </c>
      <c r="B62" s="44" t="s">
        <v>24</v>
      </c>
      <c r="C62" s="71" t="s">
        <v>23</v>
      </c>
      <c r="D62" s="160">
        <v>14000</v>
      </c>
      <c r="E62" s="149">
        <f>F62-D62</f>
        <v>-4000</v>
      </c>
      <c r="F62" s="150">
        <v>10000</v>
      </c>
      <c r="G62" s="150">
        <v>10000</v>
      </c>
      <c r="H62" s="106">
        <f t="shared" si="4"/>
        <v>100</v>
      </c>
      <c r="I62" s="102">
        <v>10000</v>
      </c>
      <c r="J62" s="100">
        <f t="shared" si="5"/>
        <v>100</v>
      </c>
      <c r="K62" s="114"/>
    </row>
    <row r="63" spans="1:11">
      <c r="B63" s="44">
        <v>4126</v>
      </c>
      <c r="C63" s="71" t="s">
        <v>167</v>
      </c>
      <c r="D63" s="160">
        <v>0</v>
      </c>
      <c r="E63" s="149">
        <f>F63-D63</f>
        <v>0</v>
      </c>
      <c r="F63" s="150">
        <v>0</v>
      </c>
      <c r="G63" s="150">
        <v>0</v>
      </c>
      <c r="H63" s="106" t="e">
        <f t="shared" si="4"/>
        <v>#DIV/0!</v>
      </c>
      <c r="I63" s="102">
        <v>0</v>
      </c>
      <c r="J63" s="100" t="e">
        <f t="shared" si="5"/>
        <v>#DIV/0!</v>
      </c>
      <c r="K63" s="114"/>
    </row>
    <row r="64" spans="1:11" ht="15.75">
      <c r="A64" s="1" t="e">
        <f>LEN(#REF!)</f>
        <v>#REF!</v>
      </c>
      <c r="B64" s="41" t="s">
        <v>22</v>
      </c>
      <c r="C64" s="72" t="s">
        <v>21</v>
      </c>
      <c r="D64" s="157">
        <f>D65+D74+D72</f>
        <v>2733136</v>
      </c>
      <c r="E64" s="157">
        <f>E65+E74+E72</f>
        <v>-2328617</v>
      </c>
      <c r="F64" s="157">
        <f>F65+F72+F74</f>
        <v>404519</v>
      </c>
      <c r="G64" s="157">
        <f>G65+G72+G74</f>
        <v>620000</v>
      </c>
      <c r="H64" s="106">
        <f t="shared" ref="H64:H85" si="8">G64/F64*100</f>
        <v>153.26844968963138</v>
      </c>
      <c r="I64" s="42">
        <f>I65+I74+I72</f>
        <v>690950</v>
      </c>
      <c r="J64" s="100">
        <f t="shared" ref="J64:J90" si="9">I64/G64*100</f>
        <v>111.44354838709678</v>
      </c>
      <c r="K64" s="114"/>
    </row>
    <row r="65" spans="1:11" ht="12.75">
      <c r="A65" s="1" t="e">
        <f>LEN(#REF!)</f>
        <v>#REF!</v>
      </c>
      <c r="B65" s="43" t="s">
        <v>20</v>
      </c>
      <c r="C65" s="66" t="s">
        <v>19</v>
      </c>
      <c r="D65" s="159">
        <f>SUM(D66:D71)</f>
        <v>2688616</v>
      </c>
      <c r="E65" s="159">
        <f>SUM(E66:E71)</f>
        <v>-2328617</v>
      </c>
      <c r="F65" s="159">
        <f>SUM(F66:F71)</f>
        <v>359999</v>
      </c>
      <c r="G65" s="161">
        <f>SUM(G66:G71)</f>
        <v>560000</v>
      </c>
      <c r="H65" s="106">
        <f t="shared" si="8"/>
        <v>155.55598765552125</v>
      </c>
      <c r="I65" s="78">
        <f>SUM(I66:I71)</f>
        <v>630950</v>
      </c>
      <c r="J65" s="100">
        <f t="shared" si="9"/>
        <v>112.66964285714285</v>
      </c>
      <c r="K65" s="114"/>
    </row>
    <row r="66" spans="1:11">
      <c r="A66" s="1" t="e">
        <f>LEN(#REF!)</f>
        <v>#REF!</v>
      </c>
      <c r="B66" s="44" t="s">
        <v>18</v>
      </c>
      <c r="C66" s="73" t="s">
        <v>17</v>
      </c>
      <c r="D66" s="160">
        <v>64947.1</v>
      </c>
      <c r="E66" s="149">
        <f>F66-D66</f>
        <v>-4947.0999999999985</v>
      </c>
      <c r="F66" s="150">
        <v>60000</v>
      </c>
      <c r="G66" s="102">
        <f>50000+50000</f>
        <v>100000</v>
      </c>
      <c r="H66" s="106">
        <f t="shared" si="8"/>
        <v>166.66666666666669</v>
      </c>
      <c r="I66" s="102">
        <f>50000+50000</f>
        <v>100000</v>
      </c>
      <c r="J66" s="100">
        <f t="shared" si="9"/>
        <v>100</v>
      </c>
      <c r="K66" s="114"/>
    </row>
    <row r="67" spans="1:11">
      <c r="A67" s="1" t="e">
        <f>LEN(#REF!)</f>
        <v>#REF!</v>
      </c>
      <c r="B67" s="44" t="s">
        <v>16</v>
      </c>
      <c r="C67" s="73" t="s">
        <v>15</v>
      </c>
      <c r="D67" s="160">
        <v>114316</v>
      </c>
      <c r="E67" s="149">
        <f t="shared" ref="E67:E71" si="10">F67-D67</f>
        <v>-109316</v>
      </c>
      <c r="F67" s="150">
        <v>5000</v>
      </c>
      <c r="G67" s="102">
        <v>10000</v>
      </c>
      <c r="H67" s="106">
        <f t="shared" si="8"/>
        <v>200</v>
      </c>
      <c r="I67" s="102">
        <v>10000</v>
      </c>
      <c r="J67" s="100">
        <f t="shared" si="9"/>
        <v>100</v>
      </c>
      <c r="K67" s="114"/>
    </row>
    <row r="68" spans="1:11">
      <c r="A68" s="1" t="e">
        <f>LEN(#REF!)</f>
        <v>#REF!</v>
      </c>
      <c r="B68" s="44" t="s">
        <v>14</v>
      </c>
      <c r="C68" s="73" t="s">
        <v>13</v>
      </c>
      <c r="D68" s="160">
        <v>1000</v>
      </c>
      <c r="E68" s="149">
        <f t="shared" si="10"/>
        <v>4000</v>
      </c>
      <c r="F68" s="150">
        <v>5000</v>
      </c>
      <c r="G68" s="102">
        <v>10000</v>
      </c>
      <c r="H68" s="106">
        <f t="shared" si="8"/>
        <v>200</v>
      </c>
      <c r="I68" s="102">
        <v>10000</v>
      </c>
      <c r="J68" s="100">
        <f t="shared" si="9"/>
        <v>100</v>
      </c>
      <c r="K68" s="114"/>
    </row>
    <row r="69" spans="1:11">
      <c r="A69" s="1" t="e">
        <f>LEN(#REF!)</f>
        <v>#REF!</v>
      </c>
      <c r="B69" s="44" t="s">
        <v>12</v>
      </c>
      <c r="C69" s="73" t="s">
        <v>11</v>
      </c>
      <c r="D69" s="160">
        <v>2240052.9</v>
      </c>
      <c r="E69" s="149">
        <f t="shared" si="10"/>
        <v>-2100052.9</v>
      </c>
      <c r="F69" s="151">
        <f>40000+100000</f>
        <v>140000</v>
      </c>
      <c r="G69" s="143">
        <f>150000+200000</f>
        <v>350000</v>
      </c>
      <c r="H69" s="106">
        <f t="shared" si="8"/>
        <v>250</v>
      </c>
      <c r="I69" s="143">
        <f>150000+200000+50000</f>
        <v>400000</v>
      </c>
      <c r="J69" s="100">
        <f t="shared" si="9"/>
        <v>114.28571428571428</v>
      </c>
      <c r="K69" s="114"/>
    </row>
    <row r="70" spans="1:11">
      <c r="A70" s="1" t="e">
        <f>LEN(#REF!)</f>
        <v>#REF!</v>
      </c>
      <c r="B70" s="44" t="s">
        <v>10</v>
      </c>
      <c r="C70" s="73" t="s">
        <v>9</v>
      </c>
      <c r="D70" s="160">
        <v>0</v>
      </c>
      <c r="E70" s="149">
        <f t="shared" si="10"/>
        <v>0</v>
      </c>
      <c r="F70" s="150">
        <v>0</v>
      </c>
      <c r="G70" s="102">
        <v>0</v>
      </c>
      <c r="H70" s="106" t="e">
        <f t="shared" si="8"/>
        <v>#DIV/0!</v>
      </c>
      <c r="I70" s="102">
        <v>0</v>
      </c>
      <c r="J70" s="100" t="e">
        <f t="shared" si="9"/>
        <v>#DIV/0!</v>
      </c>
      <c r="K70" s="114"/>
    </row>
    <row r="71" spans="1:11">
      <c r="A71" s="1" t="e">
        <f>LEN(#REF!)</f>
        <v>#REF!</v>
      </c>
      <c r="B71" s="44" t="s">
        <v>8</v>
      </c>
      <c r="C71" s="73" t="s">
        <v>156</v>
      </c>
      <c r="D71" s="160">
        <v>268300</v>
      </c>
      <c r="E71" s="149">
        <f t="shared" si="10"/>
        <v>-118301</v>
      </c>
      <c r="F71" s="150">
        <f>150000-1</f>
        <v>149999</v>
      </c>
      <c r="G71" s="102">
        <f>40000+50000</f>
        <v>90000</v>
      </c>
      <c r="H71" s="106">
        <f t="shared" si="8"/>
        <v>60.000400002666687</v>
      </c>
      <c r="I71" s="102">
        <f>40000+50000+20950</f>
        <v>110950</v>
      </c>
      <c r="J71" s="100">
        <f t="shared" si="9"/>
        <v>123.27777777777777</v>
      </c>
      <c r="K71" s="114"/>
    </row>
    <row r="72" spans="1:11" ht="12.75">
      <c r="B72" s="136">
        <v>423</v>
      </c>
      <c r="C72" s="137" t="s">
        <v>177</v>
      </c>
      <c r="D72" s="181">
        <f>D73</f>
        <v>34520</v>
      </c>
      <c r="E72" s="186">
        <f>E73</f>
        <v>0</v>
      </c>
      <c r="F72" s="181">
        <f>F73</f>
        <v>34520</v>
      </c>
      <c r="G72" s="182">
        <f>G73</f>
        <v>55000</v>
      </c>
      <c r="H72" s="106">
        <f t="shared" si="8"/>
        <v>159.32792584009269</v>
      </c>
      <c r="I72" s="138">
        <f>I73</f>
        <v>55000</v>
      </c>
      <c r="J72" s="100">
        <f t="shared" si="9"/>
        <v>100</v>
      </c>
      <c r="K72" s="114"/>
    </row>
    <row r="73" spans="1:11">
      <c r="B73" s="44">
        <v>42313</v>
      </c>
      <c r="C73" s="73" t="s">
        <v>181</v>
      </c>
      <c r="D73" s="160">
        <v>34520</v>
      </c>
      <c r="E73" s="149">
        <f>F73-D73</f>
        <v>0</v>
      </c>
      <c r="F73" s="160">
        <v>34520</v>
      </c>
      <c r="G73" s="102">
        <v>55000</v>
      </c>
      <c r="H73" s="106">
        <f t="shared" si="8"/>
        <v>159.32792584009269</v>
      </c>
      <c r="I73" s="102">
        <v>55000</v>
      </c>
      <c r="J73" s="100">
        <f t="shared" si="9"/>
        <v>100</v>
      </c>
      <c r="K73" s="114"/>
    </row>
    <row r="74" spans="1:11" ht="12.75">
      <c r="A74" s="1" t="e">
        <f>LEN(#REF!)</f>
        <v>#REF!</v>
      </c>
      <c r="B74" s="43" t="s">
        <v>7</v>
      </c>
      <c r="C74" s="66" t="s">
        <v>157</v>
      </c>
      <c r="D74" s="162">
        <f>SUM(D75:D76)</f>
        <v>10000</v>
      </c>
      <c r="E74" s="162">
        <f>SUM(E75:E76)</f>
        <v>0</v>
      </c>
      <c r="F74" s="162">
        <f>SUM(F75:F76)</f>
        <v>10000</v>
      </c>
      <c r="G74" s="163">
        <f>SUM(G75:G76)</f>
        <v>5000</v>
      </c>
      <c r="H74" s="106">
        <f t="shared" si="8"/>
        <v>50</v>
      </c>
      <c r="I74" s="79">
        <f>SUM(I75:I76)</f>
        <v>5000</v>
      </c>
      <c r="J74" s="100">
        <f t="shared" si="9"/>
        <v>100</v>
      </c>
      <c r="K74" s="114"/>
    </row>
    <row r="75" spans="1:11">
      <c r="A75" s="1" t="e">
        <f>LEN(#REF!)</f>
        <v>#REF!</v>
      </c>
      <c r="B75" s="44" t="s">
        <v>6</v>
      </c>
      <c r="C75" s="73" t="s">
        <v>5</v>
      </c>
      <c r="D75" s="160">
        <v>10000</v>
      </c>
      <c r="E75" s="149">
        <f>F75-D75</f>
        <v>0</v>
      </c>
      <c r="F75" s="150">
        <v>10000</v>
      </c>
      <c r="G75" s="150">
        <v>5000</v>
      </c>
      <c r="H75" s="106">
        <f t="shared" si="8"/>
        <v>50</v>
      </c>
      <c r="I75" s="102">
        <v>5000</v>
      </c>
      <c r="J75" s="100">
        <f t="shared" si="9"/>
        <v>100</v>
      </c>
      <c r="K75" s="114"/>
    </row>
    <row r="76" spans="1:11">
      <c r="A76" s="1" t="e">
        <f>LEN(#REF!)</f>
        <v>#REF!</v>
      </c>
      <c r="B76" s="44" t="s">
        <v>4</v>
      </c>
      <c r="C76" s="73" t="s">
        <v>161</v>
      </c>
      <c r="D76" s="160">
        <v>0</v>
      </c>
      <c r="E76" s="149">
        <f>F76-D76</f>
        <v>0</v>
      </c>
      <c r="F76" s="150">
        <v>0</v>
      </c>
      <c r="G76" s="150">
        <v>0</v>
      </c>
      <c r="H76" s="106" t="e">
        <f t="shared" si="8"/>
        <v>#DIV/0!</v>
      </c>
      <c r="I76" s="102">
        <v>0</v>
      </c>
      <c r="J76" s="100" t="e">
        <f t="shared" si="9"/>
        <v>#DIV/0!</v>
      </c>
      <c r="K76" s="114"/>
    </row>
    <row r="77" spans="1:11" ht="26.25">
      <c r="B77" s="86">
        <v>45</v>
      </c>
      <c r="C77" s="69" t="s">
        <v>163</v>
      </c>
      <c r="D77" s="157">
        <f>D78+D80</f>
        <v>29924</v>
      </c>
      <c r="E77" s="157">
        <f t="shared" ref="E77:G77" si="11">E78+E80</f>
        <v>2560776</v>
      </c>
      <c r="F77" s="157">
        <f t="shared" si="11"/>
        <v>2590700</v>
      </c>
      <c r="G77" s="157">
        <f t="shared" si="11"/>
        <v>2250000</v>
      </c>
      <c r="H77" s="106">
        <f t="shared" si="8"/>
        <v>86.849114139035777</v>
      </c>
      <c r="I77" s="42">
        <f>I78+I80</f>
        <v>0</v>
      </c>
      <c r="J77" s="100">
        <f t="shared" si="9"/>
        <v>0</v>
      </c>
      <c r="K77" s="114"/>
    </row>
    <row r="78" spans="1:11" ht="12.75">
      <c r="B78" s="87">
        <v>451</v>
      </c>
      <c r="C78" s="70" t="s">
        <v>164</v>
      </c>
      <c r="D78" s="159">
        <f t="shared" ref="D78:G78" si="12">D79</f>
        <v>500</v>
      </c>
      <c r="E78" s="159">
        <f t="shared" si="12"/>
        <v>2499500</v>
      </c>
      <c r="F78" s="159">
        <f t="shared" si="12"/>
        <v>2500000</v>
      </c>
      <c r="G78" s="161">
        <f t="shared" si="12"/>
        <v>2250000</v>
      </c>
      <c r="H78" s="106">
        <f t="shared" si="8"/>
        <v>90</v>
      </c>
      <c r="I78" s="78">
        <f>I79</f>
        <v>0</v>
      </c>
      <c r="J78" s="100">
        <f t="shared" si="9"/>
        <v>0</v>
      </c>
      <c r="K78" s="114"/>
    </row>
    <row r="79" spans="1:11">
      <c r="B79" s="44">
        <v>4511</v>
      </c>
      <c r="C79" s="71" t="s">
        <v>164</v>
      </c>
      <c r="D79" s="160">
        <v>500</v>
      </c>
      <c r="E79" s="149">
        <f>F79-D79</f>
        <v>2499500</v>
      </c>
      <c r="F79" s="160">
        <v>2500000</v>
      </c>
      <c r="G79" s="150">
        <v>2250000</v>
      </c>
      <c r="H79" s="106">
        <f t="shared" si="8"/>
        <v>90</v>
      </c>
      <c r="I79" s="102">
        <v>0</v>
      </c>
      <c r="J79" s="100">
        <f t="shared" si="9"/>
        <v>0</v>
      </c>
      <c r="K79" s="114"/>
    </row>
    <row r="80" spans="1:11">
      <c r="B80" s="191">
        <v>452</v>
      </c>
      <c r="C80" s="189" t="s">
        <v>201</v>
      </c>
      <c r="D80" s="181">
        <f>D81</f>
        <v>29424</v>
      </c>
      <c r="E80" s="181">
        <f t="shared" ref="E80:G80" si="13">E81</f>
        <v>61276</v>
      </c>
      <c r="F80" s="181">
        <f t="shared" si="13"/>
        <v>90700</v>
      </c>
      <c r="G80" s="181">
        <f t="shared" si="13"/>
        <v>0</v>
      </c>
      <c r="H80" s="106">
        <f t="shared" si="8"/>
        <v>0</v>
      </c>
      <c r="I80" s="190">
        <f>I81</f>
        <v>0</v>
      </c>
      <c r="J80" s="100" t="e">
        <f t="shared" si="9"/>
        <v>#DIV/0!</v>
      </c>
      <c r="K80" s="114"/>
    </row>
    <row r="81" spans="2:11">
      <c r="B81" s="187">
        <v>4521</v>
      </c>
      <c r="C81" s="188" t="s">
        <v>201</v>
      </c>
      <c r="D81" s="160">
        <v>29424</v>
      </c>
      <c r="E81" s="149">
        <f>F81-D81</f>
        <v>61276</v>
      </c>
      <c r="F81" s="160">
        <v>90700</v>
      </c>
      <c r="G81" s="150">
        <v>0</v>
      </c>
      <c r="H81" s="106">
        <f t="shared" si="8"/>
        <v>0</v>
      </c>
      <c r="I81" s="102">
        <v>0</v>
      </c>
      <c r="J81" s="100" t="e">
        <f t="shared" si="9"/>
        <v>#DIV/0!</v>
      </c>
      <c r="K81" s="114"/>
    </row>
    <row r="82" spans="2:11" ht="15.75">
      <c r="B82" s="84">
        <v>5</v>
      </c>
      <c r="C82" s="81" t="s">
        <v>3</v>
      </c>
      <c r="D82" s="164">
        <f t="shared" ref="D82:G84" si="14">SUM(D83)</f>
        <v>310576</v>
      </c>
      <c r="E82" s="164">
        <f t="shared" si="14"/>
        <v>135256</v>
      </c>
      <c r="F82" s="164">
        <f t="shared" si="14"/>
        <v>445832</v>
      </c>
      <c r="G82" s="165">
        <f t="shared" si="14"/>
        <v>411000</v>
      </c>
      <c r="H82" s="106">
        <f t="shared" si="8"/>
        <v>92.187191587862699</v>
      </c>
      <c r="I82" s="45">
        <f>SUM(I83)</f>
        <v>786000</v>
      </c>
      <c r="J82" s="100">
        <f t="shared" si="9"/>
        <v>191.24087591240877</v>
      </c>
      <c r="K82" s="114"/>
    </row>
    <row r="83" spans="2:11" ht="15.75">
      <c r="B83" s="88">
        <v>54</v>
      </c>
      <c r="C83" s="82" t="s">
        <v>2</v>
      </c>
      <c r="D83" s="166">
        <f t="shared" si="14"/>
        <v>310576</v>
      </c>
      <c r="E83" s="166">
        <f t="shared" si="14"/>
        <v>135256</v>
      </c>
      <c r="F83" s="166">
        <f t="shared" si="14"/>
        <v>445832</v>
      </c>
      <c r="G83" s="167">
        <f t="shared" si="14"/>
        <v>411000</v>
      </c>
      <c r="H83" s="106">
        <f t="shared" si="8"/>
        <v>92.187191587862699</v>
      </c>
      <c r="I83" s="26">
        <f>SUM(I84)</f>
        <v>786000</v>
      </c>
      <c r="J83" s="100">
        <f t="shared" si="9"/>
        <v>191.24087591240877</v>
      </c>
      <c r="K83" s="114"/>
    </row>
    <row r="84" spans="2:11" ht="12.75">
      <c r="B84" s="85">
        <v>544</v>
      </c>
      <c r="C84" s="83" t="s">
        <v>1</v>
      </c>
      <c r="D84" s="168">
        <f t="shared" si="14"/>
        <v>310576</v>
      </c>
      <c r="E84" s="168">
        <f t="shared" si="14"/>
        <v>135256</v>
      </c>
      <c r="F84" s="168">
        <f t="shared" si="14"/>
        <v>445832</v>
      </c>
      <c r="G84" s="169">
        <f t="shared" si="14"/>
        <v>411000</v>
      </c>
      <c r="H84" s="106">
        <f t="shared" si="8"/>
        <v>92.187191587862699</v>
      </c>
      <c r="I84" s="80">
        <f>SUM(I85)</f>
        <v>786000</v>
      </c>
      <c r="J84" s="100">
        <f t="shared" si="9"/>
        <v>191.24087591240877</v>
      </c>
      <c r="K84" s="114"/>
    </row>
    <row r="85" spans="2:11" ht="12.75" thickBot="1">
      <c r="B85" s="46">
        <v>5443</v>
      </c>
      <c r="C85" s="47" t="s">
        <v>158</v>
      </c>
      <c r="D85" s="154">
        <v>310576</v>
      </c>
      <c r="E85" s="149">
        <f>F85-D85</f>
        <v>135256</v>
      </c>
      <c r="F85" s="150">
        <v>445832</v>
      </c>
      <c r="G85" s="102">
        <v>411000</v>
      </c>
      <c r="H85" s="106">
        <f t="shared" si="8"/>
        <v>92.187191587862699</v>
      </c>
      <c r="I85" s="242">
        <f>411000+375000</f>
        <v>786000</v>
      </c>
      <c r="J85" s="100">
        <f t="shared" si="9"/>
        <v>191.24087591240877</v>
      </c>
      <c r="K85" s="114"/>
    </row>
    <row r="86" spans="2:11" ht="16.5" thickBot="1">
      <c r="C86" s="48" t="s">
        <v>0</v>
      </c>
      <c r="D86" s="170">
        <f>D59+D4+D82</f>
        <v>16701576.379999999</v>
      </c>
      <c r="E86" s="170">
        <f>E59+E4+E82</f>
        <v>3627125.18</v>
      </c>
      <c r="F86" s="170">
        <f>F59+F4+F82</f>
        <v>20328701.560000002</v>
      </c>
      <c r="G86" s="171">
        <f>G59+G4+G82</f>
        <v>21155700</v>
      </c>
      <c r="H86" s="106">
        <f>G86/F86*100</f>
        <v>104.06813213111089</v>
      </c>
      <c r="I86" s="104">
        <f>I59+I4+I82</f>
        <v>20960700</v>
      </c>
      <c r="J86" s="100">
        <f t="shared" si="9"/>
        <v>99.078262595896135</v>
      </c>
      <c r="K86" s="116"/>
    </row>
    <row r="87" spans="2:11">
      <c r="C87" s="4"/>
      <c r="D87" s="172"/>
      <c r="E87" s="172"/>
      <c r="F87" s="173"/>
      <c r="G87" s="174"/>
      <c r="H87" s="106"/>
      <c r="I87" s="3"/>
      <c r="J87" s="100"/>
    </row>
    <row r="88" spans="2:11">
      <c r="B88" s="49"/>
      <c r="C88" s="110" t="s">
        <v>171</v>
      </c>
      <c r="D88" s="175"/>
      <c r="E88" s="175"/>
      <c r="F88" s="176">
        <f>'PRIHODI 25-26-27'!L26</f>
        <v>20303701.560000002</v>
      </c>
      <c r="G88" s="177">
        <f>'PRIHODI 25-26-27'!L69</f>
        <v>21155700</v>
      </c>
      <c r="H88" s="106">
        <f t="shared" ref="H88:H90" si="15">G88/F88*100</f>
        <v>104.19627149011343</v>
      </c>
      <c r="I88" s="111">
        <f>'PRIHODI 25-26-27'!L114</f>
        <v>20960700</v>
      </c>
      <c r="J88" s="100">
        <f>I88/G88*100</f>
        <v>99.078262595896135</v>
      </c>
    </row>
    <row r="89" spans="2:11">
      <c r="B89" s="49"/>
      <c r="C89" s="112" t="s">
        <v>170</v>
      </c>
      <c r="D89" s="178"/>
      <c r="E89" s="178"/>
      <c r="F89" s="178">
        <f>F86</f>
        <v>20328701.560000002</v>
      </c>
      <c r="G89" s="178">
        <f t="shared" ref="G89:I89" si="16">G86</f>
        <v>21155700</v>
      </c>
      <c r="H89" s="106">
        <f t="shared" si="15"/>
        <v>104.06813213111089</v>
      </c>
      <c r="I89" s="178">
        <f t="shared" si="16"/>
        <v>20960700</v>
      </c>
      <c r="J89" s="100">
        <f t="shared" si="9"/>
        <v>99.078262595896135</v>
      </c>
    </row>
    <row r="90" spans="2:11" ht="12.75" thickBot="1">
      <c r="B90" s="49"/>
      <c r="C90" s="110" t="s">
        <v>162</v>
      </c>
      <c r="D90" s="175"/>
      <c r="E90" s="175"/>
      <c r="F90" s="206">
        <f>F88-F89</f>
        <v>-25000</v>
      </c>
      <c r="G90" s="176">
        <f t="shared" ref="G90:I90" si="17">G88-G89</f>
        <v>0</v>
      </c>
      <c r="H90" s="106">
        <f t="shared" si="15"/>
        <v>0</v>
      </c>
      <c r="I90" s="176">
        <f t="shared" si="17"/>
        <v>0</v>
      </c>
      <c r="J90" s="100" t="e">
        <f t="shared" si="9"/>
        <v>#DIV/0!</v>
      </c>
    </row>
    <row r="91" spans="2:11" ht="35.25" customHeight="1">
      <c r="D91" s="173"/>
      <c r="E91" s="173"/>
      <c r="F91" s="208" t="s">
        <v>208</v>
      </c>
      <c r="G91" s="173"/>
      <c r="I91" s="96"/>
    </row>
    <row r="92" spans="2:11" ht="12.75" thickBot="1">
      <c r="C92" s="89"/>
      <c r="D92" s="179"/>
      <c r="E92" s="179"/>
      <c r="F92" s="207">
        <v>25000</v>
      </c>
      <c r="G92" s="173"/>
      <c r="I92" s="96"/>
    </row>
    <row r="93" spans="2:11">
      <c r="D93" s="173"/>
      <c r="E93" s="173"/>
      <c r="F93" s="211"/>
      <c r="G93" s="180"/>
      <c r="H93" s="92"/>
      <c r="I93" s="173"/>
    </row>
    <row r="94" spans="2:11">
      <c r="D94" s="173"/>
      <c r="E94" s="173"/>
      <c r="F94" s="212"/>
      <c r="G94" s="173"/>
      <c r="H94" s="173"/>
      <c r="I94" s="173"/>
    </row>
    <row r="95" spans="2:11">
      <c r="G95" s="92"/>
      <c r="H95" s="92"/>
      <c r="I95" s="173"/>
    </row>
    <row r="96" spans="2:11">
      <c r="D96" s="92"/>
      <c r="G96" s="119"/>
      <c r="H96" s="92"/>
      <c r="I96" s="173"/>
    </row>
    <row r="97" spans="5:9">
      <c r="G97" s="92"/>
      <c r="H97" s="92"/>
      <c r="I97" s="173"/>
    </row>
    <row r="98" spans="5:9">
      <c r="G98" s="92"/>
      <c r="H98" s="92"/>
      <c r="I98" s="92"/>
    </row>
    <row r="99" spans="5:9">
      <c r="G99" s="92"/>
      <c r="H99" s="92"/>
      <c r="I99" s="92"/>
    </row>
    <row r="100" spans="5:9">
      <c r="G100" s="92"/>
      <c r="H100" s="92"/>
      <c r="I100" s="92"/>
    </row>
    <row r="101" spans="5:9">
      <c r="E101" s="96"/>
      <c r="F101" s="49"/>
      <c r="G101" s="108"/>
      <c r="H101" s="108"/>
      <c r="I101" s="108"/>
    </row>
    <row r="102" spans="5:9">
      <c r="F102" s="49"/>
      <c r="G102" s="108"/>
      <c r="H102" s="108"/>
      <c r="I102" s="108"/>
    </row>
    <row r="103" spans="5:9">
      <c r="F103" s="108"/>
      <c r="G103" s="108"/>
      <c r="H103" s="108"/>
      <c r="I103" s="108"/>
    </row>
    <row r="104" spans="5:9">
      <c r="F104" s="108"/>
      <c r="G104" s="108"/>
      <c r="H104" s="108"/>
      <c r="I104" s="108"/>
    </row>
    <row r="105" spans="5:9">
      <c r="F105" s="108"/>
      <c r="G105" s="108"/>
      <c r="H105" s="108"/>
      <c r="I105" s="108"/>
    </row>
    <row r="106" spans="5:9">
      <c r="F106" s="108"/>
      <c r="G106" s="108"/>
      <c r="H106" s="108"/>
      <c r="I106" s="108"/>
    </row>
    <row r="107" spans="5:9">
      <c r="F107" s="49"/>
      <c r="G107" s="108"/>
      <c r="H107" s="108"/>
      <c r="I107" s="108"/>
    </row>
  </sheetData>
  <mergeCells count="2">
    <mergeCell ref="B1:J1"/>
    <mergeCell ref="B2:J2"/>
  </mergeCells>
  <pageMargins left="0.7" right="0.7" top="0.75" bottom="0.75" header="0.3" footer="0.3"/>
  <pageSetup paperSize="8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PRIHODI 25-26-27</vt:lpstr>
      <vt:lpstr>RASHODI 25-26-27</vt:lpstr>
      <vt:lpstr>'RASHODI 25-26-27'!Podrucje_ispisa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2024-11-26T07:51:18Z</dcterms:modified>
</cp:coreProperties>
</file>